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Целевые сегменты" sheetId="1" r:id="rId1"/>
    <sheet name="ФОТ" sheetId="4" r:id="rId2"/>
    <sheet name="Прогноз дох-расх" sheetId="7" r:id="rId3"/>
    <sheet name="Доходы-Затраты (2)" sheetId="9" r:id="rId4"/>
    <sheet name="Выручка (2)" sheetId="8" r:id="rId5"/>
    <sheet name="График" sheetId="6" r:id="rId6"/>
    <sheet name="Лист1" sheetId="10" r:id="rId7"/>
    <sheet name="Лист2" sheetId="11" r:id="rId8"/>
  </sheets>
  <calcPr calcId="125725"/>
</workbook>
</file>

<file path=xl/calcChain.xml><?xml version="1.0" encoding="utf-8"?>
<calcChain xmlns="http://schemas.openxmlformats.org/spreadsheetml/2006/main">
  <c r="B8" i="7"/>
  <c r="B21" i="9"/>
  <c r="C21"/>
  <c r="D21"/>
  <c r="E16" i="8"/>
  <c r="E17"/>
  <c r="E18"/>
  <c r="E36"/>
  <c r="E37"/>
  <c r="E38"/>
  <c r="E72"/>
  <c r="E73"/>
  <c r="F22"/>
  <c r="F24" s="1"/>
  <c r="F27" s="1"/>
  <c r="F26"/>
  <c r="F43"/>
  <c r="F25" l="1"/>
  <c r="F28" s="1"/>
  <c r="C25" i="1"/>
  <c r="G11" i="4"/>
  <c r="F19"/>
  <c r="G19" s="1"/>
  <c r="G18"/>
  <c r="G17"/>
  <c r="G16"/>
  <c r="G8"/>
  <c r="S8" i="7"/>
  <c r="S6" s="1"/>
  <c r="S9" s="1"/>
  <c r="T8"/>
  <c r="T6" s="1"/>
  <c r="T9" s="1"/>
  <c r="N8"/>
  <c r="N6" s="1"/>
  <c r="N9" s="1"/>
  <c r="O8"/>
  <c r="O6" s="1"/>
  <c r="O9" s="1"/>
  <c r="P8"/>
  <c r="P6" s="1"/>
  <c r="P9" s="1"/>
  <c r="Q8"/>
  <c r="Q6" s="1"/>
  <c r="Q9" s="1"/>
  <c r="R8"/>
  <c r="R6" s="1"/>
  <c r="R9" s="1"/>
  <c r="J8"/>
  <c r="J6" s="1"/>
  <c r="J9" s="1"/>
  <c r="K8"/>
  <c r="K6" s="1"/>
  <c r="K9" s="1"/>
  <c r="L8"/>
  <c r="L6" s="1"/>
  <c r="L9" s="1"/>
  <c r="M8"/>
  <c r="M6" s="1"/>
  <c r="M9" s="1"/>
  <c r="H8"/>
  <c r="H6" s="1"/>
  <c r="H9" s="1"/>
  <c r="I8"/>
  <c r="I6" s="1"/>
  <c r="I9" s="1"/>
  <c r="C8"/>
  <c r="C6" s="1"/>
  <c r="C9" s="1"/>
  <c r="D8"/>
  <c r="D6" s="1"/>
  <c r="D9" s="1"/>
  <c r="E8"/>
  <c r="E6" s="1"/>
  <c r="E9" s="1"/>
  <c r="F8"/>
  <c r="F6" s="1"/>
  <c r="F9" s="1"/>
  <c r="G8"/>
  <c r="G6" s="1"/>
  <c r="G9" s="1"/>
  <c r="B6"/>
  <c r="B7" s="1"/>
  <c r="G63" i="8"/>
  <c r="D63"/>
  <c r="D62"/>
  <c r="J55"/>
  <c r="J56"/>
  <c r="G62"/>
  <c r="G7" i="4"/>
  <c r="B9" i="7" l="1"/>
  <c r="B11" s="1"/>
  <c r="C11"/>
  <c r="C7"/>
  <c r="S7"/>
  <c r="S11"/>
  <c r="T7"/>
  <c r="T11"/>
  <c r="R7"/>
  <c r="R11"/>
  <c r="P7"/>
  <c r="P11"/>
  <c r="N7"/>
  <c r="N11"/>
  <c r="Q7"/>
  <c r="Q11"/>
  <c r="O7"/>
  <c r="O11"/>
  <c r="L7"/>
  <c r="L11"/>
  <c r="J7"/>
  <c r="J11"/>
  <c r="M7"/>
  <c r="M11"/>
  <c r="K7"/>
  <c r="K11"/>
  <c r="B10"/>
  <c r="H7"/>
  <c r="I7"/>
  <c r="G7"/>
  <c r="E7"/>
  <c r="E11"/>
  <c r="F7"/>
  <c r="D7"/>
  <c r="D11"/>
  <c r="B32" i="9"/>
  <c r="C31"/>
  <c r="G74" i="8"/>
  <c r="G75" s="1"/>
  <c r="D74"/>
  <c r="G15" i="4"/>
  <c r="G14"/>
  <c r="G13"/>
  <c r="G10"/>
  <c r="D7" i="8"/>
  <c r="G43"/>
  <c r="D43"/>
  <c r="D32" i="9"/>
  <c r="D15" i="8"/>
  <c r="E15" s="1"/>
  <c r="D14"/>
  <c r="D13"/>
  <c r="D12"/>
  <c r="D11"/>
  <c r="E11" s="1"/>
  <c r="D10"/>
  <c r="D8"/>
  <c r="D9"/>
  <c r="D75"/>
  <c r="C75"/>
  <c r="I74"/>
  <c r="J74" s="1"/>
  <c r="J73"/>
  <c r="I73"/>
  <c r="H73"/>
  <c r="J72"/>
  <c r="I72"/>
  <c r="H72"/>
  <c r="J54"/>
  <c r="J53"/>
  <c r="J52"/>
  <c r="J51"/>
  <c r="J50"/>
  <c r="C43"/>
  <c r="I42"/>
  <c r="J38"/>
  <c r="I38"/>
  <c r="H38"/>
  <c r="J37"/>
  <c r="I37"/>
  <c r="H37"/>
  <c r="J36"/>
  <c r="I36"/>
  <c r="H36"/>
  <c r="B22"/>
  <c r="J18"/>
  <c r="I18"/>
  <c r="H18"/>
  <c r="J17"/>
  <c r="I17"/>
  <c r="J16"/>
  <c r="I16"/>
  <c r="H16"/>
  <c r="J15"/>
  <c r="I15"/>
  <c r="H15"/>
  <c r="I14"/>
  <c r="H14"/>
  <c r="I13"/>
  <c r="H13"/>
  <c r="I12"/>
  <c r="H12"/>
  <c r="J11"/>
  <c r="I11"/>
  <c r="H11"/>
  <c r="I10"/>
  <c r="H10"/>
  <c r="I9"/>
  <c r="H9"/>
  <c r="I8"/>
  <c r="H8"/>
  <c r="I7"/>
  <c r="H7"/>
  <c r="J5"/>
  <c r="K5" s="1"/>
  <c r="H5"/>
  <c r="G9" i="4"/>
  <c r="G3"/>
  <c r="B14" i="7" l="1"/>
  <c r="B15"/>
  <c r="C15" s="1"/>
  <c r="D15" s="1"/>
  <c r="E15" s="1"/>
  <c r="G11"/>
  <c r="G14" s="1"/>
  <c r="H11"/>
  <c r="H14" s="1"/>
  <c r="F11"/>
  <c r="F14" s="1"/>
  <c r="I11"/>
  <c r="I14" s="1"/>
  <c r="E43" i="8"/>
  <c r="J9"/>
  <c r="E9"/>
  <c r="J10"/>
  <c r="K10" s="1"/>
  <c r="E10"/>
  <c r="J12"/>
  <c r="E12"/>
  <c r="J14"/>
  <c r="K14" s="1"/>
  <c r="E14"/>
  <c r="J7"/>
  <c r="E7"/>
  <c r="J8"/>
  <c r="E8"/>
  <c r="J13"/>
  <c r="K13" s="1"/>
  <c r="E13"/>
  <c r="K18"/>
  <c r="K72"/>
  <c r="K17"/>
  <c r="K73"/>
  <c r="K11"/>
  <c r="K36"/>
  <c r="K37"/>
  <c r="K38"/>
  <c r="K8"/>
  <c r="K15"/>
  <c r="K16"/>
  <c r="K9"/>
  <c r="K12"/>
  <c r="K7"/>
  <c r="G25"/>
  <c r="G28" s="1"/>
  <c r="F81" s="1"/>
  <c r="C25"/>
  <c r="C28" s="1"/>
  <c r="J62"/>
  <c r="J63"/>
  <c r="D14" i="7"/>
  <c r="C14"/>
  <c r="E14"/>
  <c r="T10"/>
  <c r="T14"/>
  <c r="S10"/>
  <c r="S14"/>
  <c r="O10"/>
  <c r="O14"/>
  <c r="Q10"/>
  <c r="Q14"/>
  <c r="N14"/>
  <c r="N10"/>
  <c r="P14"/>
  <c r="P10"/>
  <c r="R14"/>
  <c r="R10"/>
  <c r="K10"/>
  <c r="K14"/>
  <c r="M10"/>
  <c r="M14"/>
  <c r="J10"/>
  <c r="J14"/>
  <c r="L10"/>
  <c r="L14"/>
  <c r="D10"/>
  <c r="F10"/>
  <c r="C10"/>
  <c r="E10"/>
  <c r="G10"/>
  <c r="I10"/>
  <c r="H10"/>
  <c r="J43" i="8"/>
  <c r="G24"/>
  <c r="G27" s="1"/>
  <c r="E81" s="1"/>
  <c r="J75"/>
  <c r="C32" i="9"/>
  <c r="I43" i="8"/>
  <c r="H43"/>
  <c r="I22"/>
  <c r="C24"/>
  <c r="C27" s="1"/>
  <c r="D25"/>
  <c r="E25" s="1"/>
  <c r="D24"/>
  <c r="F15" i="7" l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E24" i="8"/>
  <c r="K43"/>
  <c r="H26"/>
  <c r="I26"/>
  <c r="D26"/>
  <c r="H27"/>
  <c r="H24"/>
  <c r="I25"/>
  <c r="I28" s="1"/>
  <c r="J24"/>
  <c r="J25"/>
  <c r="I24"/>
  <c r="I27" s="1"/>
  <c r="H28"/>
  <c r="D27"/>
  <c r="D28"/>
  <c r="E28" s="1"/>
  <c r="H25"/>
  <c r="G4" i="4"/>
  <c r="G5"/>
  <c r="E27" i="8" l="1"/>
  <c r="E80"/>
  <c r="D80"/>
  <c r="E26"/>
  <c r="K25"/>
  <c r="F80"/>
  <c r="J26"/>
  <c r="K26" s="1"/>
  <c r="K23"/>
  <c r="K24"/>
  <c r="C41" i="9"/>
  <c r="D81" i="8"/>
  <c r="J28"/>
  <c r="J27"/>
  <c r="K27" l="1"/>
  <c r="E82"/>
  <c r="K28"/>
  <c r="F82"/>
  <c r="D82"/>
  <c r="D41" i="9"/>
  <c r="B41"/>
  <c r="I17" i="1" l="1"/>
  <c r="I18"/>
  <c r="I20"/>
  <c r="I21"/>
  <c r="I22"/>
  <c r="I16"/>
  <c r="J5"/>
  <c r="J6"/>
  <c r="J8"/>
  <c r="J9"/>
  <c r="J4"/>
  <c r="I23" l="1"/>
  <c r="J17" s="1"/>
  <c r="J10"/>
  <c r="J16" l="1"/>
  <c r="J22"/>
  <c r="J20"/>
  <c r="J18"/>
  <c r="J21"/>
  <c r="F25"/>
  <c r="K4"/>
  <c r="K5"/>
  <c r="K8"/>
  <c r="K9"/>
  <c r="K6"/>
  <c r="L10" l="1"/>
  <c r="L12"/>
  <c r="L23"/>
</calcChain>
</file>

<file path=xl/comments1.xml><?xml version="1.0" encoding="utf-8"?>
<comments xmlns="http://schemas.openxmlformats.org/spreadsheetml/2006/main">
  <authors>
    <author>User</author>
  </authors>
  <commentList>
    <comment ref="M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2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8 чел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 чел</t>
        </r>
      </text>
    </comment>
    <comment ref="C3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8 человек - проездные</t>
        </r>
      </text>
    </comment>
    <comment ref="D3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 чел</t>
        </r>
      </text>
    </comment>
  </commentList>
</comments>
</file>

<file path=xl/comments3.xml><?xml version="1.0" encoding="utf-8"?>
<comments xmlns="http://schemas.openxmlformats.org/spreadsheetml/2006/main">
  <authors>
    <author>Руслан</author>
  </authors>
  <commentList>
    <comment ref="D49" authorId="0">
      <text>
        <r>
          <rPr>
            <b/>
            <sz val="9"/>
            <color indexed="81"/>
            <rFont val="Tahoma"/>
            <family val="2"/>
            <charset val="204"/>
          </rPr>
          <t>Руслан:</t>
        </r>
        <r>
          <rPr>
            <sz val="9"/>
            <color indexed="81"/>
            <rFont val="Tahoma"/>
            <family val="2"/>
            <charset val="204"/>
          </rPr>
          <t xml:space="preserve">
в день или месяц ?
</t>
        </r>
      </text>
    </comment>
  </commentList>
</comments>
</file>

<file path=xl/sharedStrings.xml><?xml version="1.0" encoding="utf-8"?>
<sst xmlns="http://schemas.openxmlformats.org/spreadsheetml/2006/main" count="435" uniqueCount="220">
  <si>
    <t>3д моделирование</t>
  </si>
  <si>
    <t>предметное</t>
  </si>
  <si>
    <t xml:space="preserve">промышленное </t>
  </si>
  <si>
    <t>ювелирное</t>
  </si>
  <si>
    <t>Визуализация</t>
  </si>
  <si>
    <t>интерьеры</t>
  </si>
  <si>
    <t>экстерьеры</t>
  </si>
  <si>
    <t>промышленное</t>
  </si>
  <si>
    <t xml:space="preserve">Интерьеры </t>
  </si>
  <si>
    <t>ПЕЧАТЬ НА 3Д принтере</t>
  </si>
  <si>
    <t>сумма</t>
  </si>
  <si>
    <t>уд. Вес</t>
  </si>
  <si>
    <r>
      <rPr>
        <b/>
        <sz val="11"/>
        <rFont val="Calibri"/>
        <family val="2"/>
        <charset val="204"/>
        <scheme val="minor"/>
      </rPr>
      <t>3д моделировани</t>
    </r>
    <r>
      <rPr>
        <sz val="11"/>
        <rFont val="Calibri"/>
        <family val="2"/>
        <charset val="204"/>
        <scheme val="minor"/>
      </rPr>
      <t>е</t>
    </r>
  </si>
  <si>
    <t>Прибыль ~ 30% =</t>
  </si>
  <si>
    <t>1 месяц</t>
  </si>
  <si>
    <t>2 месяц</t>
  </si>
  <si>
    <t>3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</si>
  <si>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</si>
  <si>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</si>
  <si>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</si>
  <si>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</si>
  <si>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</si>
  <si>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</si>
  <si>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</si>
  <si>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</si>
  <si>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ФОТ</t>
  </si>
  <si>
    <t>Генеральный директор</t>
  </si>
  <si>
    <t>Руководитель отд продаж</t>
  </si>
  <si>
    <t>Помощник-секретарь</t>
  </si>
  <si>
    <t>Менеджер по продажам</t>
  </si>
  <si>
    <t>Ставка</t>
  </si>
  <si>
    <t>План</t>
  </si>
  <si>
    <t>Итого:</t>
  </si>
  <si>
    <t>Наименование показателя</t>
  </si>
  <si>
    <t>-</t>
  </si>
  <si>
    <t>Распределяемая прибыль</t>
  </si>
  <si>
    <t>Отчисления</t>
  </si>
  <si>
    <t>Итого з/п</t>
  </si>
  <si>
    <t>1 этап</t>
  </si>
  <si>
    <t>2 этап</t>
  </si>
  <si>
    <t>Штатное расписание:</t>
  </si>
  <si>
    <t>руб/мес</t>
  </si>
  <si>
    <t>Первый этап (базовый)</t>
  </si>
  <si>
    <t>Второй этап (региональный)</t>
  </si>
  <si>
    <t>Третий (междунарожный)</t>
  </si>
  <si>
    <t>Пессимистичный</t>
  </si>
  <si>
    <t>Оптимистичный</t>
  </si>
  <si>
    <t>Усредненный</t>
  </si>
  <si>
    <t>Варианты развития событий</t>
  </si>
  <si>
    <t>SEO</t>
  </si>
  <si>
    <t xml:space="preserve">Контекстная реклама </t>
  </si>
  <si>
    <t xml:space="preserve">Размещение на тематических площадках и форумах </t>
  </si>
  <si>
    <t>Участие в тематических  выставках</t>
  </si>
  <si>
    <t>Яндекс Москва</t>
  </si>
  <si>
    <t>Google Москва</t>
  </si>
  <si>
    <t>Яндекс Регион 1</t>
  </si>
  <si>
    <t>Яндекс  Регион 2</t>
  </si>
  <si>
    <t>Яндекс  Регион 3</t>
  </si>
  <si>
    <t>Google Регион 2</t>
  </si>
  <si>
    <t>Google Регион 3</t>
  </si>
  <si>
    <t>Этапы</t>
  </si>
  <si>
    <t>Источник заявок</t>
  </si>
  <si>
    <t>Сумма заказа/Доход</t>
  </si>
  <si>
    <t>1 этап (базовый)</t>
  </si>
  <si>
    <t>2 этап (региональный)</t>
  </si>
  <si>
    <t>3 этап (междунарожный)</t>
  </si>
  <si>
    <t>Google Регион 1</t>
  </si>
  <si>
    <t>Яндекс Регион 2</t>
  </si>
  <si>
    <t>Яндекс Регион 3</t>
  </si>
  <si>
    <t>Яндекс  Страна 1</t>
  </si>
  <si>
    <t>Яндекс  Страна 2</t>
  </si>
  <si>
    <t>Google Страна 1</t>
  </si>
  <si>
    <t>Google Страна 2</t>
  </si>
  <si>
    <t>Затраты на рекламу постоянные в месяц</t>
  </si>
  <si>
    <t>Интернет магазин 3D-моделей</t>
  </si>
  <si>
    <t>Площадки и форумы РФ</t>
  </si>
  <si>
    <t>Площадки и форумы ино</t>
  </si>
  <si>
    <t>Заявки в день</t>
  </si>
  <si>
    <t>Выставки</t>
  </si>
  <si>
    <t>Партнерские программы</t>
  </si>
  <si>
    <t>Заявки в месяц</t>
  </si>
  <si>
    <t>Статьи в журналах</t>
  </si>
  <si>
    <t>Яндекс Дубай</t>
  </si>
  <si>
    <t>Google дубай</t>
  </si>
  <si>
    <t>Итого договоров 1 этап:</t>
  </si>
  <si>
    <t>Итого договоров 1+2 этап:</t>
  </si>
  <si>
    <t>Итого договоров 1+2+3 этап:</t>
  </si>
  <si>
    <t>Цена 1 заявки</t>
  </si>
  <si>
    <t>в месяц</t>
  </si>
  <si>
    <t>Итого договоров:</t>
  </si>
  <si>
    <t>Менеджер по продажам 1</t>
  </si>
  <si>
    <t>Менеджер по продажам 2</t>
  </si>
  <si>
    <t>Менеджер по продажам 3</t>
  </si>
  <si>
    <t>Менеджер по продажам 4</t>
  </si>
  <si>
    <t>Менеджер по продажам 5</t>
  </si>
  <si>
    <t>2-3 этап</t>
  </si>
  <si>
    <t>Интернет магазин готовых 3D моделей</t>
  </si>
  <si>
    <t>Школа дизайна</t>
  </si>
  <si>
    <t>Перспектива</t>
  </si>
  <si>
    <t>Менеджер по продажам 6</t>
  </si>
  <si>
    <t>Менеджер по продажам 7</t>
  </si>
  <si>
    <t>Менеджер по продажам 8</t>
  </si>
  <si>
    <t>Менеджер по продажам 9</t>
  </si>
  <si>
    <t>Менеджер по продажам 10</t>
  </si>
  <si>
    <t>Менеджер по продажам 11</t>
  </si>
  <si>
    <t>Менеджер по продажам 12</t>
  </si>
  <si>
    <t>Офис - Китай</t>
  </si>
  <si>
    <t>Итого договоров 2+3 этап:</t>
  </si>
  <si>
    <t>Реклама</t>
  </si>
  <si>
    <t>Отд. продаж</t>
  </si>
  <si>
    <t>Этап 1</t>
  </si>
  <si>
    <t>Этап 2</t>
  </si>
  <si>
    <t>Этап 3</t>
  </si>
  <si>
    <t>Сводная по доходам в месяц (реклама+мероприятия+отд. Продаж+прочие)</t>
  </si>
  <si>
    <t>Вариант:</t>
  </si>
  <si>
    <t>НДС</t>
  </si>
  <si>
    <t>ФОТ (фонд оплаты труда)</t>
  </si>
  <si>
    <t>Канцелярия</t>
  </si>
  <si>
    <r>
      <t>Статьи в журналах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</si>
  <si>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Итого по заработанной плате</t>
  </si>
  <si>
    <t>3 этап</t>
  </si>
  <si>
    <t>Постоянные затраты в месяц на:</t>
  </si>
  <si>
    <t>Итог по рекламе в месяц:</t>
  </si>
  <si>
    <t>Итог по офису в месяц</t>
  </si>
  <si>
    <t>ИТОГО все РАСХОДЫ в месяц:</t>
  </si>
  <si>
    <t>Реклама+офис+ФОТ (кроме себестоимости заказа)</t>
  </si>
  <si>
    <t>Доходы от основной деятельности (замена данных пессим2=пессим1*1,7, Оптим2=уср1)</t>
  </si>
  <si>
    <t>менеджер проекта</t>
  </si>
  <si>
    <t>бухгалтер</t>
  </si>
  <si>
    <t>юрист</t>
  </si>
  <si>
    <t>руководитель 2 ого офиса</t>
  </si>
  <si>
    <t>2 этап 6+2 (ДУБАИ)</t>
  </si>
  <si>
    <t>3 этап -12 (плюс офис  КИТАЙ)</t>
  </si>
  <si>
    <t>плюс один сайт для школы по 3D визуализации и моделированию</t>
  </si>
  <si>
    <t>Офис (Москва)</t>
  </si>
  <si>
    <t>Офис (Китай)</t>
  </si>
  <si>
    <t>Телефон+интернет</t>
  </si>
  <si>
    <t>Разовые официальные затраты:</t>
  </si>
  <si>
    <t>ЗАТРАТЫ НА СОЗДАНИЕ САЙТА,  ЛЕНДИНГА:</t>
  </si>
  <si>
    <t>1 этап -6 ( 4 уже есть ПОСМОТРЕТЬ )</t>
  </si>
  <si>
    <t>Итог по разовым затратам в месяц</t>
  </si>
  <si>
    <t>Покупка оборудования:</t>
  </si>
  <si>
    <t>4 месяц</t>
  </si>
  <si>
    <t>13 месяц</t>
  </si>
  <si>
    <t>14 месяц</t>
  </si>
  <si>
    <t>15 месяц</t>
  </si>
  <si>
    <t>Прогноз развития фирмы на 1,5 года</t>
  </si>
  <si>
    <t>Выручка с НДС</t>
  </si>
  <si>
    <t>Налог на прибыль 20%</t>
  </si>
  <si>
    <t>Себестоимость услуги
( без уч НДС)</t>
  </si>
  <si>
    <t>Наценка 30%</t>
  </si>
  <si>
    <t>Прибыль до уплаты налогов (кроме НДС)</t>
  </si>
  <si>
    <t>Распределяемая прибыль, нарастающим итогом</t>
  </si>
  <si>
    <t>По оценкам рынка 3D моделирования и визуализации, выход на рабочие показатели осуществляется за 0,5-1 год, в этот период планируется, что 1 этап развития будет полностью реализован и выйдет на стабильные показатели.
Этап 1 считается завершенным при достижении показателя чистой прибыли в 300 000 рублей в месяц. (т.е. с 5-6го месяца)</t>
  </si>
  <si>
    <t>16 месяц</t>
  </si>
  <si>
    <t>17 месяц</t>
  </si>
  <si>
    <t>18 месяц</t>
  </si>
  <si>
    <t>19 месяц</t>
  </si>
  <si>
    <t>300000 3D принтер</t>
  </si>
  <si>
    <t>человек для помощи создания и ведения иностранного сайта</t>
  </si>
  <si>
    <t>100000 доп реклама</t>
  </si>
  <si>
    <t>60000  hh</t>
  </si>
  <si>
    <t>150 000  hh</t>
  </si>
  <si>
    <t>amoCRM 5000</t>
  </si>
  <si>
    <t>сумма в рублях</t>
  </si>
  <si>
    <t xml:space="preserve"> </t>
  </si>
  <si>
    <t>30000 ,00</t>
  </si>
  <si>
    <t>Каналы продаж по направлениям</t>
  </si>
  <si>
    <t>52  308 125,00</t>
  </si>
  <si>
    <t xml:space="preserve">3 D  моделлер и визуализатор  </t>
  </si>
  <si>
    <t xml:space="preserve">30000  ,00  </t>
  </si>
  <si>
    <t xml:space="preserve">Руководитель отдела  проектов </t>
  </si>
  <si>
    <t xml:space="preserve">Програмисты </t>
  </si>
  <si>
    <t>обслуживающий персонал</t>
  </si>
  <si>
    <t xml:space="preserve">1 этап </t>
  </si>
  <si>
    <t>С ОТЧИСЛЕНИЯМИ</t>
  </si>
  <si>
    <t>Оплата транспорта сотруддников компании</t>
  </si>
  <si>
    <t xml:space="preserve">Бухгалтерия и Банковское обслуживание счета </t>
  </si>
  <si>
    <t>Работа 3</t>
  </si>
  <si>
    <t>Работа 5</t>
  </si>
  <si>
    <t xml:space="preserve">Работа 1 </t>
  </si>
  <si>
    <t xml:space="preserve">Работа 4 </t>
  </si>
  <si>
    <t>Работа 6</t>
  </si>
  <si>
    <t>Работа 7</t>
  </si>
  <si>
    <t xml:space="preserve">Работа 8 </t>
  </si>
  <si>
    <t>11 600 000 ,00</t>
  </si>
  <si>
    <t>уд. Вес в 3D моелировании</t>
  </si>
  <si>
    <t>уд. Вес в сумме выручки за 2 мес</t>
  </si>
  <si>
    <t>ИТОГО:</t>
  </si>
  <si>
    <t>СОЗДАНИЕ АНИМАЦИОННОГО РОЛИКА (март- апрель)</t>
  </si>
  <si>
    <t>Всего за 2 месяца:</t>
  </si>
  <si>
    <t>рублей</t>
  </si>
  <si>
    <t>Анализ рынка (целевые сегменты)</t>
  </si>
  <si>
    <t>З/ факт</t>
  </si>
  <si>
    <t xml:space="preserve">ИТОГО с отчислениями  </t>
  </si>
  <si>
    <t>Конверсия</t>
  </si>
  <si>
    <t>Стоимость 1 заявки в руб.</t>
  </si>
  <si>
    <t xml:space="preserve">Итого </t>
  </si>
  <si>
    <t xml:space="preserve">Этапы </t>
  </si>
  <si>
    <t xml:space="preserve">Дополнительные затраты </t>
  </si>
  <si>
    <t>3  ,2</t>
  </si>
  <si>
    <t>315 00</t>
  </si>
  <si>
    <t xml:space="preserve">Обший ИТОГ </t>
  </si>
  <si>
    <t>Итого</t>
  </si>
  <si>
    <t>Этап</t>
  </si>
  <si>
    <t>Направления</t>
  </si>
  <si>
    <t xml:space="preserve">Инвестиции 2 317 350 .00 р </t>
  </si>
  <si>
    <t xml:space="preserve">2 этап </t>
  </si>
  <si>
    <t>ТОЧКА БЕЗУБЫТОЧНОСТИ 1</t>
  </si>
  <si>
    <t>ТОЧКА БЕЗУБЫТОЧНОСТИ 2</t>
  </si>
  <si>
    <t>1350 связь</t>
  </si>
  <si>
    <t>Третий (международный)</t>
  </si>
  <si>
    <t>10.</t>
  </si>
  <si>
    <t>ФАКТ</t>
  </si>
  <si>
    <t>3000 ,00</t>
  </si>
  <si>
    <t>126 700  ,00</t>
  </si>
  <si>
    <t>1 096 000 ,00</t>
  </si>
  <si>
    <t>Дополнительные затраты на рекламу</t>
  </si>
  <si>
    <t>новая ООО 15000</t>
  </si>
  <si>
    <t>Прибыль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</si>
</sst>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_-* #,##0.000_р_._-;\-* #,##0.000_р_._-;_-* &quot;-&quot;??_р_._-;_-@_-"/>
    <numFmt numFmtId="166" formatCode="_-* #,##0_р_._-;\-* #,##0_р_._-;_-* &quot;-&quot;??_р_._-;_-@_-"/>
    <numFmt numFmtId="167" formatCode="_-* #,##0.0_р_._-;\-* #,##0.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6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65" fontId="3" fillId="0" borderId="0" xfId="0" applyNumberFormat="1" applyFont="1" applyBorder="1"/>
    <xf numFmtId="164" fontId="2" fillId="0" borderId="0" xfId="0" applyNumberFormat="1" applyFont="1" applyBorder="1"/>
    <xf numFmtId="166" fontId="3" fillId="0" borderId="0" xfId="1" applyNumberFormat="1" applyFont="1" applyBorder="1"/>
    <xf numFmtId="0" fontId="3" fillId="0" borderId="6" xfId="0" applyFont="1" applyBorder="1"/>
    <xf numFmtId="0" fontId="3" fillId="2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6" fillId="0" borderId="6" xfId="0" applyFont="1" applyBorder="1"/>
    <xf numFmtId="0" fontId="0" fillId="0" borderId="0" xfId="0" applyAlignment="1">
      <alignment horizontal="center"/>
    </xf>
    <xf numFmtId="0" fontId="0" fillId="0" borderId="6" xfId="0" applyBorder="1"/>
    <xf numFmtId="0" fontId="0" fillId="5" borderId="0" xfId="0" applyFill="1"/>
    <xf numFmtId="0" fontId="0" fillId="5" borderId="6" xfId="0" applyFill="1" applyBorder="1"/>
    <xf numFmtId="0" fontId="0" fillId="7" borderId="0" xfId="0" applyFill="1"/>
    <xf numFmtId="0" fontId="0" fillId="7" borderId="6" xfId="0" applyFill="1" applyBorder="1"/>
    <xf numFmtId="0" fontId="0" fillId="4" borderId="0" xfId="0" applyFill="1" applyAlignment="1">
      <alignment vertical="center"/>
    </xf>
    <xf numFmtId="0" fontId="0" fillId="4" borderId="6" xfId="0" applyFill="1" applyBorder="1"/>
    <xf numFmtId="0" fontId="4" fillId="0" borderId="0" xfId="0" applyFont="1"/>
    <xf numFmtId="0" fontId="0" fillId="0" borderId="0" xfId="0" applyBorder="1"/>
    <xf numFmtId="0" fontId="0" fillId="0" borderId="0" xfId="0" applyFill="1" applyBorder="1"/>
    <xf numFmtId="43" fontId="0" fillId="5" borderId="6" xfId="1" applyFont="1" applyFill="1" applyBorder="1"/>
    <xf numFmtId="43" fontId="0" fillId="0" borderId="6" xfId="1" applyFont="1" applyBorder="1"/>
    <xf numFmtId="43" fontId="0" fillId="0" borderId="0" xfId="1" applyFont="1" applyFill="1" applyBorder="1"/>
    <xf numFmtId="43" fontId="0" fillId="0" borderId="6" xfId="1" applyFon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6" xfId="0" applyFill="1" applyBorder="1" applyAlignment="1">
      <alignment wrapText="1"/>
    </xf>
    <xf numFmtId="43" fontId="0" fillId="0" borderId="0" xfId="1" applyFont="1" applyFill="1"/>
    <xf numFmtId="0" fontId="4" fillId="0" borderId="0" xfId="0" applyFont="1" applyFill="1"/>
    <xf numFmtId="43" fontId="0" fillId="4" borderId="6" xfId="1" applyFont="1" applyFill="1" applyBorder="1"/>
    <xf numFmtId="0" fontId="0" fillId="0" borderId="6" xfId="0" applyFill="1" applyBorder="1" applyAlignment="1">
      <alignment horizontal="center" vertical="center" wrapText="1"/>
    </xf>
    <xf numFmtId="43" fontId="0" fillId="7" borderId="6" xfId="1" applyFont="1" applyFill="1" applyBorder="1"/>
    <xf numFmtId="0" fontId="0" fillId="10" borderId="6" xfId="0" applyFill="1" applyBorder="1"/>
    <xf numFmtId="0" fontId="5" fillId="0" borderId="0" xfId="0" applyFont="1" applyFill="1"/>
    <xf numFmtId="0" fontId="0" fillId="8" borderId="0" xfId="0" applyFill="1"/>
    <xf numFmtId="0" fontId="0" fillId="5" borderId="6" xfId="0" applyFill="1" applyBorder="1" applyAlignment="1">
      <alignment horizontal="right" wrapText="1"/>
    </xf>
    <xf numFmtId="0" fontId="0" fillId="4" borderId="6" xfId="0" applyFill="1" applyBorder="1" applyAlignment="1">
      <alignment horizontal="right" wrapText="1"/>
    </xf>
    <xf numFmtId="0" fontId="0" fillId="4" borderId="6" xfId="0" applyFont="1" applyFill="1" applyBorder="1" applyAlignment="1">
      <alignment horizontal="right" wrapText="1"/>
    </xf>
    <xf numFmtId="0" fontId="0" fillId="7" borderId="6" xfId="0" applyFont="1" applyFill="1" applyBorder="1" applyAlignment="1">
      <alignment horizontal="right" wrapText="1"/>
    </xf>
    <xf numFmtId="0" fontId="0" fillId="7" borderId="6" xfId="0" applyFill="1" applyBorder="1" applyAlignment="1">
      <alignment horizontal="right" wrapText="1"/>
    </xf>
    <xf numFmtId="0" fontId="0" fillId="0" borderId="6" xfId="0" applyFont="1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8" borderId="0" xfId="0" applyFill="1" applyAlignment="1">
      <alignment horizontal="right" wrapText="1"/>
    </xf>
    <xf numFmtId="0" fontId="0" fillId="8" borderId="6" xfId="0" applyFont="1" applyFill="1" applyBorder="1" applyAlignment="1">
      <alignment horizontal="right" wrapText="1"/>
    </xf>
    <xf numFmtId="0" fontId="0" fillId="0" borderId="6" xfId="0" applyFont="1" applyBorder="1" applyAlignment="1">
      <alignment wrapText="1"/>
    </xf>
    <xf numFmtId="0" fontId="0" fillId="0" borderId="6" xfId="0" applyFont="1" applyFill="1" applyBorder="1" applyAlignment="1">
      <alignment wrapText="1"/>
    </xf>
    <xf numFmtId="43" fontId="5" fillId="0" borderId="6" xfId="1" applyFont="1" applyFill="1" applyBorder="1"/>
    <xf numFmtId="43" fontId="5" fillId="4" borderId="0" xfId="1" applyFont="1" applyFill="1"/>
    <xf numFmtId="43" fontId="5" fillId="7" borderId="6" xfId="1" applyFont="1" applyFill="1" applyBorder="1"/>
    <xf numFmtId="0" fontId="0" fillId="6" borderId="6" xfId="0" applyFont="1" applyFill="1" applyBorder="1" applyAlignment="1">
      <alignment horizontal="right" wrapText="1"/>
    </xf>
    <xf numFmtId="0" fontId="0" fillId="0" borderId="6" xfId="0" applyFill="1" applyBorder="1" applyAlignment="1"/>
    <xf numFmtId="0" fontId="0" fillId="0" borderId="6" xfId="0" applyFill="1" applyBorder="1"/>
    <xf numFmtId="0" fontId="0" fillId="0" borderId="0" xfId="0" applyFill="1" applyBorder="1" applyAlignment="1"/>
    <xf numFmtId="43" fontId="0" fillId="0" borderId="0" xfId="0" applyNumberFormat="1" applyFill="1"/>
    <xf numFmtId="0" fontId="5" fillId="0" borderId="6" xfId="0" applyFont="1" applyFill="1" applyBorder="1" applyAlignment="1">
      <alignment horizontal="center" wrapText="1"/>
    </xf>
    <xf numFmtId="43" fontId="0" fillId="0" borderId="0" xfId="0" applyNumberFormat="1"/>
    <xf numFmtId="0" fontId="0" fillId="0" borderId="15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/>
    <xf numFmtId="0" fontId="0" fillId="0" borderId="6" xfId="0" applyFont="1" applyBorder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0" xfId="0" applyFill="1" applyBorder="1" applyAlignment="1"/>
    <xf numFmtId="164" fontId="5" fillId="0" borderId="24" xfId="0" applyNumberFormat="1" applyFont="1" applyBorder="1"/>
    <xf numFmtId="164" fontId="5" fillId="0" borderId="25" xfId="0" applyNumberFormat="1" applyFont="1" applyBorder="1"/>
    <xf numFmtId="164" fontId="5" fillId="0" borderId="26" xfId="0" applyNumberFormat="1" applyFont="1" applyBorder="1"/>
    <xf numFmtId="164" fontId="5" fillId="0" borderId="27" xfId="0" applyNumberFormat="1" applyFont="1" applyBorder="1"/>
    <xf numFmtId="164" fontId="5" fillId="0" borderId="28" xfId="0" applyNumberFormat="1" applyFont="1" applyBorder="1"/>
    <xf numFmtId="164" fontId="5" fillId="0" borderId="29" xfId="0" applyNumberFormat="1" applyFont="1" applyBorder="1"/>
    <xf numFmtId="0" fontId="5" fillId="0" borderId="0" xfId="0" applyFont="1" applyBorder="1" applyAlignment="1">
      <alignment horizontal="right"/>
    </xf>
    <xf numFmtId="0" fontId="10" fillId="0" borderId="0" xfId="0" applyFont="1"/>
    <xf numFmtId="0" fontId="0" fillId="0" borderId="30" xfId="0" applyBorder="1"/>
    <xf numFmtId="0" fontId="0" fillId="0" borderId="31" xfId="0" applyBorder="1" applyAlignment="1"/>
    <xf numFmtId="0" fontId="7" fillId="0" borderId="6" xfId="0" applyFont="1" applyBorder="1" applyAlignment="1">
      <alignment horizontal="center" vertical="center"/>
    </xf>
    <xf numFmtId="0" fontId="5" fillId="0" borderId="6" xfId="0" applyFont="1" applyFill="1" applyBorder="1"/>
    <xf numFmtId="0" fontId="7" fillId="0" borderId="11" xfId="0" applyFont="1" applyBorder="1" applyAlignment="1">
      <alignment horizontal="right"/>
    </xf>
    <xf numFmtId="0" fontId="0" fillId="0" borderId="0" xfId="0" applyNumberFormat="1"/>
    <xf numFmtId="0" fontId="0" fillId="0" borderId="6" xfId="0" applyFill="1" applyBorder="1"/>
    <xf numFmtId="43" fontId="0" fillId="0" borderId="6" xfId="0" applyNumberFormat="1" applyFill="1" applyBorder="1" applyAlignment="1"/>
    <xf numFmtId="0" fontId="0" fillId="0" borderId="6" xfId="0" applyFill="1" applyBorder="1" applyAlignment="1"/>
    <xf numFmtId="0" fontId="4" fillId="7" borderId="6" xfId="0" applyFont="1" applyFill="1" applyBorder="1"/>
    <xf numFmtId="0" fontId="10" fillId="0" borderId="0" xfId="0" applyFont="1" applyFill="1" applyBorder="1" applyAlignment="1">
      <alignment horizontal="left" vertical="center"/>
    </xf>
    <xf numFmtId="43" fontId="13" fillId="0" borderId="6" xfId="1" applyFont="1" applyFill="1" applyBorder="1"/>
    <xf numFmtId="0" fontId="10" fillId="0" borderId="0" xfId="0" applyFont="1" applyFill="1" applyBorder="1"/>
    <xf numFmtId="0" fontId="2" fillId="0" borderId="0" xfId="0" applyFont="1"/>
    <xf numFmtId="9" fontId="2" fillId="0" borderId="0" xfId="0" applyNumberFormat="1" applyFont="1"/>
    <xf numFmtId="9" fontId="0" fillId="0" borderId="0" xfId="0" applyNumberFormat="1"/>
    <xf numFmtId="0" fontId="5" fillId="0" borderId="0" xfId="0" applyFont="1"/>
    <xf numFmtId="0" fontId="13" fillId="0" borderId="0" xfId="0" applyFont="1" applyFill="1" applyAlignment="1">
      <alignment wrapText="1"/>
    </xf>
    <xf numFmtId="0" fontId="14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6" xfId="0" applyFont="1" applyFill="1" applyBorder="1" applyAlignment="1"/>
    <xf numFmtId="164" fontId="14" fillId="0" borderId="27" xfId="0" applyNumberFormat="1" applyFont="1" applyBorder="1"/>
    <xf numFmtId="0" fontId="6" fillId="0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right"/>
    </xf>
    <xf numFmtId="164" fontId="14" fillId="0" borderId="28" xfId="0" applyNumberFormat="1" applyFont="1" applyBorder="1"/>
    <xf numFmtId="164" fontId="14" fillId="0" borderId="29" xfId="0" applyNumberFormat="1" applyFont="1" applyBorder="1"/>
    <xf numFmtId="43" fontId="6" fillId="0" borderId="6" xfId="1" applyFont="1" applyBorder="1"/>
    <xf numFmtId="43" fontId="14" fillId="0" borderId="6" xfId="1" applyFont="1" applyFill="1" applyBorder="1" applyAlignment="1">
      <alignment horizontal="center"/>
    </xf>
    <xf numFmtId="43" fontId="6" fillId="0" borderId="10" xfId="1" applyFont="1" applyFill="1" applyBorder="1" applyAlignment="1">
      <alignment horizontal="center"/>
    </xf>
    <xf numFmtId="43" fontId="14" fillId="0" borderId="10" xfId="1" applyFont="1" applyFill="1" applyBorder="1" applyAlignment="1">
      <alignment horizontal="center"/>
    </xf>
    <xf numFmtId="0" fontId="0" fillId="0" borderId="0" xfId="0" applyAlignment="1">
      <alignment horizontal="right"/>
    </xf>
    <xf numFmtId="43" fontId="5" fillId="0" borderId="0" xfId="1" applyFont="1"/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43" fontId="3" fillId="0" borderId="6" xfId="1" applyFont="1" applyBorder="1"/>
    <xf numFmtId="9" fontId="0" fillId="0" borderId="0" xfId="0" applyNumberFormat="1" applyFill="1" applyBorder="1"/>
    <xf numFmtId="0" fontId="8" fillId="0" borderId="0" xfId="0" applyFont="1" applyFill="1"/>
    <xf numFmtId="0" fontId="9" fillId="0" borderId="0" xfId="0" applyFont="1" applyFill="1" applyAlignment="1">
      <alignment vertical="center"/>
    </xf>
    <xf numFmtId="43" fontId="5" fillId="10" borderId="0" xfId="1" applyFont="1" applyFill="1"/>
    <xf numFmtId="0" fontId="0" fillId="0" borderId="35" xfId="0" applyFill="1" applyBorder="1"/>
    <xf numFmtId="0" fontId="0" fillId="0" borderId="17" xfId="0" applyFill="1" applyBorder="1"/>
    <xf numFmtId="43" fontId="0" fillId="10" borderId="6" xfId="1" applyFont="1" applyFill="1" applyBorder="1"/>
    <xf numFmtId="43" fontId="0" fillId="0" borderId="0" xfId="1" applyFont="1"/>
    <xf numFmtId="10" fontId="4" fillId="0" borderId="6" xfId="0" applyNumberFormat="1" applyFont="1" applyBorder="1"/>
    <xf numFmtId="43" fontId="0" fillId="0" borderId="35" xfId="1" applyFont="1" applyFill="1" applyBorder="1"/>
    <xf numFmtId="43" fontId="1" fillId="0" borderId="0" xfId="1" applyFont="1"/>
    <xf numFmtId="44" fontId="0" fillId="0" borderId="6" xfId="1" applyNumberFormat="1" applyFont="1" applyBorder="1"/>
    <xf numFmtId="44" fontId="5" fillId="0" borderId="0" xfId="0" applyNumberFormat="1" applyFont="1"/>
    <xf numFmtId="44" fontId="0" fillId="0" borderId="0" xfId="0" applyNumberFormat="1"/>
    <xf numFmtId="44" fontId="0" fillId="0" borderId="32" xfId="0" applyNumberFormat="1" applyBorder="1"/>
    <xf numFmtId="44" fontId="5" fillId="0" borderId="28" xfId="0" applyNumberFormat="1" applyFont="1" applyBorder="1"/>
    <xf numFmtId="43" fontId="14" fillId="0" borderId="6" xfId="1" applyFont="1" applyBorder="1"/>
    <xf numFmtId="43" fontId="6" fillId="0" borderId="6" xfId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5" borderId="6" xfId="0" applyNumberFormat="1" applyFill="1" applyBorder="1"/>
    <xf numFmtId="2" fontId="0" fillId="0" borderId="6" xfId="0" applyNumberFormat="1" applyBorder="1"/>
    <xf numFmtId="2" fontId="0" fillId="0" borderId="6" xfId="0" applyNumberFormat="1" applyFill="1" applyBorder="1"/>
    <xf numFmtId="0" fontId="2" fillId="0" borderId="6" xfId="0" applyFont="1" applyBorder="1"/>
    <xf numFmtId="0" fontId="3" fillId="4" borderId="6" xfId="0" applyFont="1" applyFill="1" applyBorder="1"/>
    <xf numFmtId="10" fontId="3" fillId="0" borderId="0" xfId="2" applyNumberFormat="1" applyFont="1" applyBorder="1"/>
    <xf numFmtId="0" fontId="3" fillId="3" borderId="6" xfId="0" applyFont="1" applyFill="1" applyBorder="1"/>
    <xf numFmtId="10" fontId="3" fillId="3" borderId="6" xfId="2" applyNumberFormat="1" applyFont="1" applyFill="1" applyBorder="1"/>
    <xf numFmtId="0" fontId="4" fillId="0" borderId="6" xfId="0" applyFont="1" applyBorder="1"/>
    <xf numFmtId="10" fontId="3" fillId="0" borderId="6" xfId="2" applyNumberFormat="1" applyFont="1" applyBorder="1"/>
    <xf numFmtId="43" fontId="2" fillId="0" borderId="6" xfId="1" applyFont="1" applyBorder="1"/>
    <xf numFmtId="166" fontId="3" fillId="0" borderId="36" xfId="1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2" fillId="0" borderId="12" xfId="0" applyFont="1" applyBorder="1"/>
    <xf numFmtId="43" fontId="3" fillId="4" borderId="6" xfId="1" applyFont="1" applyFill="1" applyBorder="1"/>
    <xf numFmtId="43" fontId="3" fillId="2" borderId="6" xfId="1" applyFont="1" applyFill="1" applyBorder="1"/>
    <xf numFmtId="43" fontId="2" fillId="0" borderId="13" xfId="1" applyFont="1" applyBorder="1"/>
    <xf numFmtId="43" fontId="2" fillId="3" borderId="9" xfId="1" applyFont="1" applyFill="1" applyBorder="1"/>
    <xf numFmtId="0" fontId="3" fillId="0" borderId="8" xfId="0" applyFont="1" applyBorder="1"/>
    <xf numFmtId="0" fontId="3" fillId="3" borderId="8" xfId="0" applyFont="1" applyFill="1" applyBorder="1"/>
    <xf numFmtId="0" fontId="3" fillId="3" borderId="9" xfId="0" applyFont="1" applyFill="1" applyBorder="1"/>
    <xf numFmtId="10" fontId="3" fillId="4" borderId="6" xfId="2" applyNumberFormat="1" applyFont="1" applyFill="1" applyBorder="1"/>
    <xf numFmtId="10" fontId="3" fillId="2" borderId="6" xfId="2" applyNumberFormat="1" applyFont="1" applyFill="1" applyBorder="1"/>
    <xf numFmtId="43" fontId="3" fillId="0" borderId="0" xfId="1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5" xfId="0" applyNumberFormat="1" applyFont="1" applyBorder="1"/>
    <xf numFmtId="0" fontId="2" fillId="0" borderId="25" xfId="0" applyFont="1" applyBorder="1" applyAlignment="1">
      <alignment horizontal="left"/>
    </xf>
    <xf numFmtId="43" fontId="2" fillId="0" borderId="25" xfId="1" applyFont="1" applyBorder="1"/>
    <xf numFmtId="0" fontId="3" fillId="0" borderId="25" xfId="0" applyFont="1" applyBorder="1"/>
    <xf numFmtId="0" fontId="3" fillId="0" borderId="26" xfId="0" applyFont="1" applyBorder="1"/>
    <xf numFmtId="10" fontId="3" fillId="0" borderId="13" xfId="2" applyNumberFormat="1" applyFont="1" applyBorder="1"/>
    <xf numFmtId="0" fontId="3" fillId="0" borderId="36" xfId="0" applyFont="1" applyBorder="1"/>
    <xf numFmtId="10" fontId="3" fillId="0" borderId="36" xfId="2" applyNumberFormat="1" applyFont="1" applyBorder="1"/>
    <xf numFmtId="0" fontId="3" fillId="0" borderId="7" xfId="0" applyFont="1" applyBorder="1"/>
    <xf numFmtId="43" fontId="3" fillId="0" borderId="8" xfId="1" applyFont="1" applyBorder="1"/>
    <xf numFmtId="43" fontId="2" fillId="0" borderId="8" xfId="1" applyFont="1" applyBorder="1"/>
    <xf numFmtId="43" fontId="2" fillId="0" borderId="9" xfId="1" applyFont="1" applyBorder="1"/>
    <xf numFmtId="44" fontId="0" fillId="0" borderId="7" xfId="0" applyNumberFormat="1" applyFont="1" applyBorder="1"/>
    <xf numFmtId="43" fontId="1" fillId="0" borderId="6" xfId="1" applyFont="1" applyBorder="1"/>
    <xf numFmtId="0" fontId="0" fillId="0" borderId="36" xfId="0" applyFill="1" applyBorder="1"/>
    <xf numFmtId="0" fontId="0" fillId="0" borderId="9" xfId="0" applyBorder="1"/>
    <xf numFmtId="167" fontId="0" fillId="0" borderId="6" xfId="1" applyNumberFormat="1" applyFont="1" applyBorder="1"/>
    <xf numFmtId="0" fontId="0" fillId="0" borderId="9" xfId="0" applyFill="1" applyBorder="1"/>
    <xf numFmtId="43" fontId="0" fillId="0" borderId="36" xfId="1" applyFont="1" applyBorder="1"/>
    <xf numFmtId="2" fontId="0" fillId="0" borderId="6" xfId="0" applyNumberFormat="1" applyFont="1" applyBorder="1"/>
    <xf numFmtId="167" fontId="0" fillId="0" borderId="0" xfId="1" applyNumberFormat="1" applyFont="1"/>
    <xf numFmtId="43" fontId="0" fillId="5" borderId="6" xfId="1" applyNumberFormat="1" applyFont="1" applyFill="1" applyBorder="1"/>
    <xf numFmtId="43" fontId="0" fillId="5" borderId="6" xfId="0" applyNumberFormat="1" applyFill="1" applyBorder="1"/>
    <xf numFmtId="43" fontId="0" fillId="4" borderId="6" xfId="1" applyNumberFormat="1" applyFont="1" applyFill="1" applyBorder="1"/>
    <xf numFmtId="43" fontId="0" fillId="4" borderId="6" xfId="0" applyNumberFormat="1" applyFill="1" applyBorder="1"/>
    <xf numFmtId="43" fontId="4" fillId="7" borderId="6" xfId="1" applyNumberFormat="1" applyFont="1" applyFill="1" applyBorder="1"/>
    <xf numFmtId="43" fontId="0" fillId="7" borderId="6" xfId="0" applyNumberFormat="1" applyFill="1" applyBorder="1"/>
    <xf numFmtId="43" fontId="0" fillId="7" borderId="6" xfId="1" applyNumberFormat="1" applyFont="1" applyFill="1" applyBorder="1"/>
    <xf numFmtId="16" fontId="0" fillId="5" borderId="6" xfId="0" applyNumberFormat="1" applyFill="1" applyBorder="1"/>
    <xf numFmtId="2" fontId="0" fillId="5" borderId="6" xfId="0" applyNumberFormat="1" applyFill="1" applyBorder="1"/>
    <xf numFmtId="2" fontId="0" fillId="4" borderId="6" xfId="0" applyNumberFormat="1" applyFill="1" applyBorder="1"/>
    <xf numFmtId="2" fontId="0" fillId="7" borderId="6" xfId="0" applyNumberFormat="1" applyFill="1" applyBorder="1"/>
    <xf numFmtId="2" fontId="0" fillId="0" borderId="10" xfId="0" applyNumberFormat="1" applyFill="1" applyBorder="1"/>
    <xf numFmtId="2" fontId="0" fillId="0" borderId="10" xfId="0" applyNumberFormat="1" applyBorder="1"/>
    <xf numFmtId="0" fontId="7" fillId="0" borderId="3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5" fillId="0" borderId="0" xfId="0" applyNumberFormat="1" applyFont="1" applyBorder="1"/>
    <xf numFmtId="0" fontId="5" fillId="0" borderId="12" xfId="0" applyFont="1" applyBorder="1"/>
    <xf numFmtId="0" fontId="15" fillId="0" borderId="0" xfId="0" applyFont="1" applyBorder="1" applyAlignment="1">
      <alignment horizontal="center" vertical="center" wrapText="1" readingOrder="1"/>
    </xf>
    <xf numFmtId="3" fontId="15" fillId="0" borderId="0" xfId="0" applyNumberFormat="1" applyFont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right" wrapText="1"/>
    </xf>
    <xf numFmtId="0" fontId="0" fillId="5" borderId="36" xfId="0" applyFill="1" applyBorder="1" applyAlignment="1">
      <alignment horizontal="right" wrapText="1"/>
    </xf>
    <xf numFmtId="0" fontId="0" fillId="0" borderId="0" xfId="0" applyBorder="1" applyAlignment="1"/>
    <xf numFmtId="43" fontId="5" fillId="0" borderId="0" xfId="1" applyFont="1" applyFill="1" applyBorder="1"/>
    <xf numFmtId="0" fontId="0" fillId="9" borderId="6" xfId="0" applyFill="1" applyBorder="1"/>
    <xf numFmtId="0" fontId="0" fillId="0" borderId="9" xfId="0" applyFill="1" applyBorder="1" applyAlignment="1">
      <alignment horizontal="right" wrapText="1"/>
    </xf>
    <xf numFmtId="44" fontId="5" fillId="0" borderId="6" xfId="0" applyNumberFormat="1" applyFont="1" applyFill="1" applyBorder="1"/>
    <xf numFmtId="4" fontId="5" fillId="0" borderId="6" xfId="0" applyNumberFormat="1" applyFont="1" applyFill="1" applyBorder="1"/>
    <xf numFmtId="164" fontId="14" fillId="0" borderId="0" xfId="0" applyNumberFormat="1" applyFont="1"/>
    <xf numFmtId="0" fontId="15" fillId="0" borderId="40" xfId="0" applyFont="1" applyBorder="1" applyAlignment="1">
      <alignment horizontal="center" vertical="center" wrapText="1" readingOrder="1"/>
    </xf>
    <xf numFmtId="0" fontId="15" fillId="0" borderId="38" xfId="0" applyFont="1" applyBorder="1" applyAlignment="1">
      <alignment horizontal="center" vertical="center" wrapText="1" readingOrder="1"/>
    </xf>
    <xf numFmtId="43" fontId="5" fillId="0" borderId="0" xfId="1" applyFont="1" applyBorder="1"/>
    <xf numFmtId="43" fontId="5" fillId="4" borderId="6" xfId="1" applyFont="1" applyFill="1" applyBorder="1"/>
    <xf numFmtId="0" fontId="0" fillId="0" borderId="0" xfId="0" applyFill="1" applyBorder="1" applyAlignment="1">
      <alignment wrapText="1"/>
    </xf>
    <xf numFmtId="43" fontId="0" fillId="0" borderId="0" xfId="1" applyFont="1" applyFill="1" applyBorder="1" applyAlignment="1">
      <alignment wrapText="1"/>
    </xf>
    <xf numFmtId="43" fontId="0" fillId="0" borderId="6" xfId="1" applyFont="1" applyFill="1" applyBorder="1" applyAlignment="1">
      <alignment wrapText="1"/>
    </xf>
    <xf numFmtId="0" fontId="0" fillId="6" borderId="6" xfId="0" applyFill="1" applyBorder="1" applyAlignment="1">
      <alignment wrapText="1"/>
    </xf>
    <xf numFmtId="43" fontId="0" fillId="6" borderId="10" xfId="1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43" fontId="0" fillId="0" borderId="14" xfId="1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0" fillId="0" borderId="0" xfId="0" applyFont="1" applyBorder="1"/>
    <xf numFmtId="0" fontId="0" fillId="0" borderId="17" xfId="0" applyFill="1" applyBorder="1" applyAlignment="1"/>
    <xf numFmtId="0" fontId="2" fillId="0" borderId="6" xfId="0" applyFont="1" applyFill="1" applyBorder="1" applyAlignment="1">
      <alignment wrapText="1"/>
    </xf>
    <xf numFmtId="10" fontId="3" fillId="0" borderId="6" xfId="0" applyNumberFormat="1" applyFont="1" applyBorder="1"/>
    <xf numFmtId="0" fontId="6" fillId="0" borderId="16" xfId="0" applyFont="1" applyBorder="1"/>
    <xf numFmtId="0" fontId="14" fillId="0" borderId="12" xfId="0" applyFont="1" applyBorder="1"/>
    <xf numFmtId="0" fontId="15" fillId="0" borderId="6" xfId="0" applyFont="1" applyBorder="1" applyAlignment="1">
      <alignment horizontal="center" vertical="center" wrapText="1" readingOrder="1"/>
    </xf>
    <xf numFmtId="43" fontId="15" fillId="0" borderId="6" xfId="1" applyFont="1" applyBorder="1" applyAlignment="1">
      <alignment horizontal="center" vertical="center" wrapText="1" readingOrder="1"/>
    </xf>
    <xf numFmtId="0" fontId="15" fillId="0" borderId="7" xfId="0" applyFont="1" applyBorder="1" applyAlignment="1">
      <alignment horizontal="center" vertical="center" wrapText="1" readingOrder="1"/>
    </xf>
    <xf numFmtId="43" fontId="15" fillId="0" borderId="7" xfId="1" applyFont="1" applyBorder="1" applyAlignment="1">
      <alignment horizontal="center" vertical="center" wrapText="1" readingOrder="1"/>
    </xf>
    <xf numFmtId="0" fontId="15" fillId="12" borderId="6" xfId="0" applyFont="1" applyFill="1" applyBorder="1" applyAlignment="1">
      <alignment horizontal="center" vertical="center" wrapText="1" readingOrder="1"/>
    </xf>
    <xf numFmtId="43" fontId="15" fillId="12" borderId="6" xfId="1" applyFont="1" applyFill="1" applyBorder="1" applyAlignment="1">
      <alignment horizontal="center" vertical="center" wrapText="1" readingOrder="1"/>
    </xf>
    <xf numFmtId="1" fontId="15" fillId="0" borderId="6" xfId="0" applyNumberFormat="1" applyFont="1" applyBorder="1" applyAlignment="1">
      <alignment horizontal="center" vertical="center" wrapText="1"/>
    </xf>
    <xf numFmtId="1" fontId="15" fillId="12" borderId="6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3" fontId="15" fillId="12" borderId="6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 readingOrder="1"/>
    </xf>
    <xf numFmtId="0" fontId="15" fillId="0" borderId="41" xfId="0" applyFont="1" applyBorder="1" applyAlignment="1">
      <alignment horizontal="center" vertical="center" wrapText="1" readingOrder="1"/>
    </xf>
    <xf numFmtId="1" fontId="19" fillId="0" borderId="6" xfId="0" applyNumberFormat="1" applyFont="1" applyBorder="1" applyAlignment="1">
      <alignment horizontal="center" vertical="center" wrapText="1"/>
    </xf>
    <xf numFmtId="43" fontId="15" fillId="0" borderId="6" xfId="1" applyFont="1" applyBorder="1" applyAlignment="1">
      <alignment horizontal="center" vertical="center" wrapText="1"/>
    </xf>
    <xf numFmtId="0" fontId="5" fillId="0" borderId="0" xfId="0" applyFont="1" applyBorder="1"/>
    <xf numFmtId="0" fontId="14" fillId="0" borderId="0" xfId="0" applyFont="1" applyBorder="1"/>
    <xf numFmtId="0" fontId="14" fillId="0" borderId="15" xfId="0" applyFont="1" applyBorder="1"/>
    <xf numFmtId="0" fontId="14" fillId="0" borderId="17" xfId="0" applyFont="1" applyBorder="1"/>
    <xf numFmtId="0" fontId="0" fillId="0" borderId="0" xfId="0" applyAlignment="1"/>
    <xf numFmtId="43" fontId="0" fillId="0" borderId="6" xfId="1" applyFont="1" applyBorder="1" applyAlignment="1"/>
    <xf numFmtId="43" fontId="5" fillId="0" borderId="6" xfId="1" applyFont="1" applyBorder="1" applyAlignment="1"/>
    <xf numFmtId="43" fontId="0" fillId="0" borderId="0" xfId="1" applyFont="1" applyFill="1" applyBorder="1" applyAlignment="1"/>
    <xf numFmtId="44" fontId="5" fillId="0" borderId="6" xfId="0" applyNumberFormat="1" applyFont="1" applyBorder="1" applyAlignment="1">
      <alignment horizontal="center"/>
    </xf>
    <xf numFmtId="43" fontId="5" fillId="0" borderId="6" xfId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wrapText="1"/>
    </xf>
    <xf numFmtId="2" fontId="5" fillId="0" borderId="6" xfId="0" applyNumberFormat="1" applyFont="1" applyFill="1" applyBorder="1" applyAlignment="1">
      <alignment wrapText="1"/>
    </xf>
    <xf numFmtId="0" fontId="5" fillId="0" borderId="6" xfId="0" applyNumberFormat="1" applyFont="1" applyFill="1" applyBorder="1" applyAlignment="1">
      <alignment wrapText="1"/>
    </xf>
    <xf numFmtId="43" fontId="15" fillId="14" borderId="6" xfId="1" applyFont="1" applyFill="1" applyBorder="1" applyAlignment="1">
      <alignment horizontal="center" vertical="center" wrapText="1" readingOrder="1"/>
    </xf>
    <xf numFmtId="43" fontId="22" fillId="14" borderId="6" xfId="1" applyFont="1" applyFill="1" applyBorder="1"/>
    <xf numFmtId="43" fontId="22" fillId="12" borderId="6" xfId="1" applyFont="1" applyFill="1" applyBorder="1"/>
    <xf numFmtId="43" fontId="15" fillId="14" borderId="7" xfId="1" applyFont="1" applyFill="1" applyBorder="1" applyAlignment="1">
      <alignment horizontal="center" vertical="center" wrapText="1" readingOrder="1"/>
    </xf>
    <xf numFmtId="43" fontId="24" fillId="14" borderId="6" xfId="1" applyFont="1" applyFill="1" applyBorder="1"/>
    <xf numFmtId="43" fontId="23" fillId="14" borderId="6" xfId="1" applyFont="1" applyFill="1" applyBorder="1"/>
    <xf numFmtId="43" fontId="5" fillId="14" borderId="0" xfId="1" applyFont="1" applyFill="1"/>
    <xf numFmtId="0" fontId="15" fillId="14" borderId="41" xfId="0" applyFont="1" applyFill="1" applyBorder="1" applyAlignment="1">
      <alignment horizontal="center" vertical="center" wrapText="1" readingOrder="1"/>
    </xf>
    <xf numFmtId="0" fontId="5" fillId="14" borderId="0" xfId="0" applyFont="1" applyFill="1"/>
    <xf numFmtId="0" fontId="15" fillId="11" borderId="39" xfId="0" applyFont="1" applyFill="1" applyBorder="1" applyAlignment="1">
      <alignment horizontal="center" vertical="center" wrapText="1" readingOrder="1"/>
    </xf>
    <xf numFmtId="43" fontId="15" fillId="11" borderId="6" xfId="1" applyFont="1" applyFill="1" applyBorder="1" applyAlignment="1">
      <alignment horizontal="center" vertical="center" wrapText="1" readingOrder="1"/>
    </xf>
    <xf numFmtId="43" fontId="22" fillId="11" borderId="6" xfId="1" applyFont="1" applyFill="1" applyBorder="1"/>
    <xf numFmtId="1" fontId="15" fillId="11" borderId="6" xfId="0" applyNumberFormat="1" applyFont="1" applyFill="1" applyBorder="1" applyAlignment="1">
      <alignment horizontal="center" vertical="center" wrapText="1"/>
    </xf>
    <xf numFmtId="3" fontId="15" fillId="11" borderId="6" xfId="0" applyNumberFormat="1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right" vertical="center"/>
    </xf>
    <xf numFmtId="164" fontId="5" fillId="14" borderId="22" xfId="0" applyNumberFormat="1" applyFont="1" applyFill="1" applyBorder="1" applyAlignment="1">
      <alignment horizontal="center" vertical="center"/>
    </xf>
    <xf numFmtId="164" fontId="5" fillId="14" borderId="23" xfId="0" applyNumberFormat="1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right" vertical="center"/>
    </xf>
    <xf numFmtId="164" fontId="5" fillId="14" borderId="0" xfId="0" applyNumberFormat="1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right"/>
    </xf>
    <xf numFmtId="0" fontId="0" fillId="14" borderId="4" xfId="0" applyFill="1" applyBorder="1"/>
    <xf numFmtId="0" fontId="0" fillId="14" borderId="5" xfId="0" applyFill="1" applyBorder="1"/>
    <xf numFmtId="0" fontId="4" fillId="14" borderId="0" xfId="0" applyFont="1" applyFill="1"/>
    <xf numFmtId="43" fontId="6" fillId="0" borderId="6" xfId="1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10" fontId="3" fillId="0" borderId="10" xfId="2" applyNumberFormat="1" applyFont="1" applyBorder="1" applyAlignment="1">
      <alignment horizontal="center"/>
    </xf>
    <xf numFmtId="10" fontId="3" fillId="0" borderId="35" xfId="2" applyNumberFormat="1" applyFont="1" applyBorder="1" applyAlignment="1">
      <alignment horizontal="center"/>
    </xf>
    <xf numFmtId="10" fontId="3" fillId="0" borderId="36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1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/>
    <xf numFmtId="0" fontId="0" fillId="0" borderId="12" xfId="0" applyBorder="1" applyAlignment="1"/>
    <xf numFmtId="43" fontId="15" fillId="0" borderId="10" xfId="1" applyFont="1" applyBorder="1" applyAlignment="1">
      <alignment horizontal="center" vertical="center" wrapText="1"/>
    </xf>
    <xf numFmtId="43" fontId="15" fillId="0" borderId="35" xfId="1" applyFont="1" applyBorder="1" applyAlignment="1">
      <alignment horizontal="center" vertical="center" wrapText="1"/>
    </xf>
    <xf numFmtId="43" fontId="15" fillId="0" borderId="36" xfId="1" applyFont="1" applyBorder="1" applyAlignment="1">
      <alignment horizontal="center" vertical="center" wrapText="1"/>
    </xf>
    <xf numFmtId="43" fontId="15" fillId="11" borderId="10" xfId="1" applyFont="1" applyFill="1" applyBorder="1" applyAlignment="1">
      <alignment horizontal="center" vertical="center" wrapText="1"/>
    </xf>
    <xf numFmtId="43" fontId="15" fillId="11" borderId="35" xfId="1" applyFont="1" applyFill="1" applyBorder="1" applyAlignment="1">
      <alignment horizontal="center" vertical="center" wrapText="1"/>
    </xf>
    <xf numFmtId="43" fontId="15" fillId="11" borderId="36" xfId="1" applyFont="1" applyFill="1" applyBorder="1" applyAlignment="1">
      <alignment horizontal="center" vertical="center" wrapText="1"/>
    </xf>
    <xf numFmtId="43" fontId="14" fillId="0" borderId="6" xfId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43" fontId="14" fillId="11" borderId="6" xfId="1" applyFont="1" applyFill="1" applyBorder="1" applyAlignment="1">
      <alignment vertical="center"/>
    </xf>
    <xf numFmtId="0" fontId="6" fillId="11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43" fontId="14" fillId="0" borderId="6" xfId="1" applyFont="1" applyFill="1" applyBorder="1" applyAlignment="1">
      <alignment vertical="center"/>
    </xf>
    <xf numFmtId="43" fontId="15" fillId="0" borderId="7" xfId="1" applyFont="1" applyBorder="1" applyAlignment="1">
      <alignment horizontal="center" vertical="center" wrapText="1" readingOrder="1"/>
    </xf>
    <xf numFmtId="0" fontId="0" fillId="0" borderId="7" xfId="0" applyBorder="1" applyAlignment="1">
      <alignment horizontal="center" vertical="center" wrapText="1" readingOrder="1"/>
    </xf>
    <xf numFmtId="43" fontId="15" fillId="0" borderId="6" xfId="1" applyFont="1" applyBorder="1" applyAlignment="1">
      <alignment horizontal="center" vertical="center" wrapText="1" readingOrder="1"/>
    </xf>
    <xf numFmtId="0" fontId="0" fillId="0" borderId="6" xfId="0" applyBorder="1" applyAlignment="1">
      <alignment horizontal="center" vertical="center" wrapText="1" readingOrder="1"/>
    </xf>
    <xf numFmtId="43" fontId="15" fillId="12" borderId="6" xfId="1" applyFont="1" applyFill="1" applyBorder="1" applyAlignment="1">
      <alignment horizontal="center" vertical="center" wrapText="1" readingOrder="1"/>
    </xf>
    <xf numFmtId="43" fontId="14" fillId="14" borderId="6" xfId="1" applyFont="1" applyFill="1" applyBorder="1" applyAlignment="1">
      <alignment vertical="center"/>
    </xf>
    <xf numFmtId="0" fontId="0" fillId="14" borderId="6" xfId="0" applyFill="1" applyBorder="1" applyAlignment="1">
      <alignment vertical="center"/>
    </xf>
    <xf numFmtId="43" fontId="15" fillId="12" borderId="10" xfId="1" applyFont="1" applyFill="1" applyBorder="1" applyAlignment="1">
      <alignment horizontal="center" vertical="center" wrapText="1"/>
    </xf>
    <xf numFmtId="43" fontId="15" fillId="12" borderId="35" xfId="1" applyFont="1" applyFill="1" applyBorder="1" applyAlignment="1">
      <alignment horizontal="center" vertical="center" wrapText="1"/>
    </xf>
    <xf numFmtId="43" fontId="15" fillId="12" borderId="36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4" fillId="11" borderId="6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center"/>
    </xf>
    <xf numFmtId="0" fontId="14" fillId="13" borderId="34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 readingOrder="1"/>
    </xf>
    <xf numFmtId="0" fontId="15" fillId="0" borderId="35" xfId="0" applyFont="1" applyBorder="1" applyAlignment="1">
      <alignment horizontal="center" vertical="center" wrapText="1" readingOrder="1"/>
    </xf>
    <xf numFmtId="0" fontId="15" fillId="0" borderId="36" xfId="0" applyFont="1" applyBorder="1" applyAlignment="1">
      <alignment horizontal="center" vertical="center" wrapText="1" readingOrder="1"/>
    </xf>
    <xf numFmtId="3" fontId="15" fillId="0" borderId="16" xfId="0" applyNumberFormat="1" applyFont="1" applyBorder="1" applyAlignment="1">
      <alignment horizontal="center" vertical="center" wrapText="1"/>
    </xf>
    <xf numFmtId="3" fontId="15" fillId="0" borderId="42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14" borderId="33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10" fillId="14" borderId="2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7" borderId="15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0" fontId="0" fillId="7" borderId="36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wrapText="1"/>
    </xf>
    <xf numFmtId="9" fontId="0" fillId="0" borderId="0" xfId="2" applyFont="1" applyFill="1" applyBorder="1" applyAlignment="1">
      <alignment horizontal="center"/>
    </xf>
    <xf numFmtId="0" fontId="0" fillId="0" borderId="0" xfId="0" applyAlignment="1"/>
    <xf numFmtId="0" fontId="0" fillId="0" borderId="15" xfId="0" applyBorder="1" applyAlignment="1"/>
    <xf numFmtId="0" fontId="9" fillId="0" borderId="1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0" xfId="0" applyFill="1" applyBorder="1" applyAlignment="1"/>
    <xf numFmtId="0" fontId="0" fillId="0" borderId="6" xfId="0" applyFill="1" applyBorder="1" applyAlignment="1">
      <alignment horizontal="center" wrapText="1"/>
    </xf>
    <xf numFmtId="9" fontId="0" fillId="0" borderId="6" xfId="2" applyFont="1" applyFill="1" applyBorder="1" applyAlignment="1">
      <alignment horizontal="center" wrapText="1"/>
    </xf>
    <xf numFmtId="0" fontId="0" fillId="0" borderId="14" xfId="0" applyFill="1" applyBorder="1" applyAlignment="1"/>
    <xf numFmtId="0" fontId="5" fillId="0" borderId="10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0" xfId="0" applyFont="1" applyFill="1" applyAlignment="1">
      <alignment horizontal="center"/>
    </xf>
    <xf numFmtId="0" fontId="9" fillId="0" borderId="3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9" fontId="0" fillId="0" borderId="7" xfId="2" applyFont="1" applyFill="1" applyBorder="1" applyAlignment="1">
      <alignment horizontal="center"/>
    </xf>
    <xf numFmtId="9" fontId="0" fillId="0" borderId="8" xfId="2" applyFont="1" applyFill="1" applyBorder="1" applyAlignment="1">
      <alignment horizontal="center"/>
    </xf>
    <xf numFmtId="9" fontId="0" fillId="0" borderId="9" xfId="2" applyFont="1" applyFill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4302651587361971E-2"/>
          <c:y val="1.1243777261971625E-2"/>
          <c:w val="0.72762067099409355"/>
          <c:h val="0.96484789513553049"/>
        </c:manualLayout>
      </c:layout>
      <c:lineChart>
        <c:grouping val="standard"/>
        <c:ser>
          <c:idx val="0"/>
          <c:order val="0"/>
          <c:tx>
            <c:strRef>
              <c:f>'Прогноз дох-расх'!$A$3</c:f>
              <c:strCache>
                <c:ptCount val="1"/>
                <c:pt idx="0">
                  <c:v>Выручка с НДС</c:v>
                </c:pt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дох-расх'!$B$3:$T$3</c:f>
              <c:numCache>
                <c:formatCode>_-* #,##0.00_р_._-;\-* #,##0.00_р_._-;_-* "-"??_р_._-;_-@_-</c:formatCode>
                <c:ptCount val="19"/>
                <c:pt idx="0">
                  <c:v>800000</c:v>
                </c:pt>
                <c:pt idx="1">
                  <c:v>1300000</c:v>
                </c:pt>
                <c:pt idx="2">
                  <c:v>2000000</c:v>
                </c:pt>
                <c:pt idx="3">
                  <c:v>3000000</c:v>
                </c:pt>
                <c:pt idx="4">
                  <c:v>4000000</c:v>
                </c:pt>
                <c:pt idx="5">
                  <c:v>5000000</c:v>
                </c:pt>
                <c:pt idx="6">
                  <c:v>5360000</c:v>
                </c:pt>
                <c:pt idx="7">
                  <c:v>5360000</c:v>
                </c:pt>
                <c:pt idx="8">
                  <c:v>5360000</c:v>
                </c:pt>
                <c:pt idx="9">
                  <c:v>6000000</c:v>
                </c:pt>
                <c:pt idx="10">
                  <c:v>7000000</c:v>
                </c:pt>
                <c:pt idx="11">
                  <c:v>8000000</c:v>
                </c:pt>
                <c:pt idx="12">
                  <c:v>11000000</c:v>
                </c:pt>
                <c:pt idx="13">
                  <c:v>12000000</c:v>
                </c:pt>
                <c:pt idx="14">
                  <c:v>14500000</c:v>
                </c:pt>
                <c:pt idx="15">
                  <c:v>15000000</c:v>
                </c:pt>
                <c:pt idx="16">
                  <c:v>16085625</c:v>
                </c:pt>
                <c:pt idx="17">
                  <c:v>16085625</c:v>
                </c:pt>
                <c:pt idx="18">
                  <c:v>16085625</c:v>
                </c:pt>
              </c:numCache>
            </c:numRef>
          </c:val>
        </c:ser>
        <c:ser>
          <c:idx val="1"/>
          <c:order val="1"/>
          <c:tx>
            <c:strRef>
              <c:f>'Прогноз дох-расх'!$A$4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дох-расх'!$B$4:$T$4</c:f>
              <c:numCache>
                <c:formatCode>General</c:formatCode>
                <c:ptCount val="19"/>
              </c:numCache>
            </c:numRef>
          </c:val>
        </c:ser>
        <c:ser>
          <c:idx val="2"/>
          <c:order val="2"/>
          <c:tx>
            <c:strRef>
              <c:f>'Прогноз дох-расх'!$A$5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дох-расх'!$B$5:$T$5</c:f>
              <c:numCache>
                <c:formatCode>General</c:formatCode>
                <c:ptCount val="19"/>
              </c:numCache>
            </c:numRef>
          </c:val>
        </c:ser>
        <c:ser>
          <c:idx val="3"/>
          <c:order val="3"/>
          <c:tx>
            <c:strRef>
              <c:f>'Прогноз дох-расх'!$A$6</c:f>
              <c:strCache>
                <c:ptCount val="1"/>
                <c:pt idx="0">
                  <c:v>Себестоимость услуги
( без уч НДС)</c:v>
                </c:pt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дох-расх'!$B$6:$T$6</c:f>
              <c:numCache>
                <c:formatCode>_-* #,##0.00_р_._-;\-* #,##0.00_р_._-;_-* "-"??_р_._-;_-@_-</c:formatCode>
                <c:ptCount val="19"/>
                <c:pt idx="0">
                  <c:v>521512.38591916562</c:v>
                </c:pt>
                <c:pt idx="1">
                  <c:v>847457.62711864407</c:v>
                </c:pt>
                <c:pt idx="2">
                  <c:v>1303780.964797914</c:v>
                </c:pt>
                <c:pt idx="3">
                  <c:v>1955671.447196871</c:v>
                </c:pt>
                <c:pt idx="4">
                  <c:v>2607561.9295958281</c:v>
                </c:pt>
                <c:pt idx="5">
                  <c:v>3259452.4119947851</c:v>
                </c:pt>
                <c:pt idx="6">
                  <c:v>3494132.9856584091</c:v>
                </c:pt>
                <c:pt idx="7">
                  <c:v>3494132.9856584091</c:v>
                </c:pt>
                <c:pt idx="8">
                  <c:v>3494132.9856584091</c:v>
                </c:pt>
                <c:pt idx="9">
                  <c:v>3911342.8943937421</c:v>
                </c:pt>
                <c:pt idx="10">
                  <c:v>4563233.3767926991</c:v>
                </c:pt>
                <c:pt idx="11">
                  <c:v>5215123.8591916561</c:v>
                </c:pt>
                <c:pt idx="12">
                  <c:v>7170795.3063885262</c:v>
                </c:pt>
                <c:pt idx="13">
                  <c:v>7822685.7887874842</c:v>
                </c:pt>
                <c:pt idx="14">
                  <c:v>9452411.9947848767</c:v>
                </c:pt>
                <c:pt idx="15">
                  <c:v>9778357.2359843552</c:v>
                </c:pt>
                <c:pt idx="16">
                  <c:v>10486065.840938723</c:v>
                </c:pt>
                <c:pt idx="17">
                  <c:v>10486065.840938723</c:v>
                </c:pt>
                <c:pt idx="18">
                  <c:v>10486065.840938723</c:v>
                </c:pt>
              </c:numCache>
            </c:numRef>
          </c:val>
        </c:ser>
        <c:ser>
          <c:idx val="4"/>
          <c:order val="4"/>
          <c:tx>
            <c:strRef>
              <c:f>'Прогноз дох-расх'!$A$7</c:f>
              <c:strCache>
                <c:ptCount val="1"/>
                <c:pt idx="0">
                  <c:v>Наценка 30%</c:v>
                </c:pt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дох-расх'!$B$7:$T$7</c:f>
              <c:numCache>
                <c:formatCode>_-* #,##0.00_р_._-;\-* #,##0.00_р_._-;_-* "-"??_р_._-;_-@_-</c:formatCode>
                <c:ptCount val="19"/>
                <c:pt idx="0">
                  <c:v>156453.71577574968</c:v>
                </c:pt>
                <c:pt idx="1">
                  <c:v>254237.2881355932</c:v>
                </c:pt>
                <c:pt idx="2">
                  <c:v>391134.28943937417</c:v>
                </c:pt>
                <c:pt idx="3">
                  <c:v>586701.43415906129</c:v>
                </c:pt>
                <c:pt idx="4">
                  <c:v>782268.57887874835</c:v>
                </c:pt>
                <c:pt idx="5">
                  <c:v>977835.72359843552</c:v>
                </c:pt>
                <c:pt idx="6">
                  <c:v>1048239.8956975227</c:v>
                </c:pt>
                <c:pt idx="7">
                  <c:v>1048239.8956975227</c:v>
                </c:pt>
                <c:pt idx="8">
                  <c:v>1048239.8956975227</c:v>
                </c:pt>
                <c:pt idx="9">
                  <c:v>1173402.8683181226</c:v>
                </c:pt>
                <c:pt idx="10">
                  <c:v>1368970.0130378096</c:v>
                </c:pt>
                <c:pt idx="11">
                  <c:v>1564537.1577574967</c:v>
                </c:pt>
                <c:pt idx="12">
                  <c:v>2151238.5919165579</c:v>
                </c:pt>
                <c:pt idx="13">
                  <c:v>2346805.7366362452</c:v>
                </c:pt>
                <c:pt idx="14">
                  <c:v>2835723.5984354629</c:v>
                </c:pt>
                <c:pt idx="15">
                  <c:v>2933507.1707953066</c:v>
                </c:pt>
                <c:pt idx="16">
                  <c:v>3145819.7522816169</c:v>
                </c:pt>
                <c:pt idx="17">
                  <c:v>3145819.7522816169</c:v>
                </c:pt>
                <c:pt idx="18">
                  <c:v>3145819.7522816169</c:v>
                </c:pt>
              </c:numCache>
            </c:numRef>
          </c:val>
        </c:ser>
        <c:ser>
          <c:idx val="5"/>
          <c:order val="5"/>
          <c:tx>
            <c:strRef>
              <c:f>'Прогноз дох-расх'!$A$8</c:f>
              <c:strCache>
                <c:ptCount val="1"/>
                <c:pt idx="0">
                  <c:v>НДС</c:v>
                </c:pt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дох-расх'!$B$8:$T$8</c:f>
              <c:numCache>
                <c:formatCode>_-* #,##0.00_р_._-;\-* #,##0.00_р_._-;_-* "-"??_р_._-;_-@_-</c:formatCode>
                <c:ptCount val="19"/>
                <c:pt idx="0">
                  <c:v>122033.89830508467</c:v>
                </c:pt>
                <c:pt idx="1">
                  <c:v>198305.08474576264</c:v>
                </c:pt>
                <c:pt idx="2">
                  <c:v>305084.74576271186</c:v>
                </c:pt>
                <c:pt idx="3">
                  <c:v>457627.11864406755</c:v>
                </c:pt>
                <c:pt idx="4">
                  <c:v>610169.49152542371</c:v>
                </c:pt>
                <c:pt idx="5">
                  <c:v>762711.86440677941</c:v>
                </c:pt>
                <c:pt idx="6">
                  <c:v>817627.11864406802</c:v>
                </c:pt>
                <c:pt idx="7">
                  <c:v>817627.11864406802</c:v>
                </c:pt>
                <c:pt idx="8">
                  <c:v>817627.11864406802</c:v>
                </c:pt>
                <c:pt idx="9">
                  <c:v>915254.2372881351</c:v>
                </c:pt>
                <c:pt idx="10">
                  <c:v>1067796.6101694908</c:v>
                </c:pt>
                <c:pt idx="11">
                  <c:v>1220338.9830508474</c:v>
                </c:pt>
                <c:pt idx="12">
                  <c:v>1677966.1016949154</c:v>
                </c:pt>
                <c:pt idx="13">
                  <c:v>1830508.4745762702</c:v>
                </c:pt>
                <c:pt idx="14">
                  <c:v>2211864.4067796599</c:v>
                </c:pt>
                <c:pt idx="15">
                  <c:v>2288135.5932203382</c:v>
                </c:pt>
                <c:pt idx="16">
                  <c:v>2453739.4067796599</c:v>
                </c:pt>
                <c:pt idx="17">
                  <c:v>2453739.4067796599</c:v>
                </c:pt>
                <c:pt idx="18">
                  <c:v>2453739.4067796599</c:v>
                </c:pt>
              </c:numCache>
            </c:numRef>
          </c:val>
        </c:ser>
        <c:ser>
          <c:idx val="6"/>
          <c:order val="6"/>
          <c:tx>
            <c:strRef>
              <c:f>'Прогноз дох-расх'!$A$9</c:f>
              <c:strCache>
                <c:ptCount val="1"/>
                <c:pt idx="0">
                  <c:v>Прибыль до уплаты налогов (кроме НДС)</c:v>
                </c:pt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дох-расх'!$B$9:$T$9</c:f>
              <c:numCache>
                <c:formatCode>_-* #,##0.00_р_._-;\-* #,##0.00_р_._-;_-* "-"??_р_._-;_-@_-</c:formatCode>
                <c:ptCount val="19"/>
                <c:pt idx="0">
                  <c:v>156453.71577574968</c:v>
                </c:pt>
                <c:pt idx="1">
                  <c:v>254237.28813559329</c:v>
                </c:pt>
                <c:pt idx="2">
                  <c:v>391134.28943937412</c:v>
                </c:pt>
                <c:pt idx="3">
                  <c:v>586701.43415906141</c:v>
                </c:pt>
                <c:pt idx="4">
                  <c:v>782268.57887874823</c:v>
                </c:pt>
                <c:pt idx="5">
                  <c:v>977835.72359843552</c:v>
                </c:pt>
                <c:pt idx="6">
                  <c:v>1048239.8956975229</c:v>
                </c:pt>
                <c:pt idx="7">
                  <c:v>1048239.8956975229</c:v>
                </c:pt>
                <c:pt idx="8">
                  <c:v>1048239.8956975229</c:v>
                </c:pt>
                <c:pt idx="9">
                  <c:v>1173402.8683181228</c:v>
                </c:pt>
                <c:pt idx="10">
                  <c:v>1368970.0130378101</c:v>
                </c:pt>
                <c:pt idx="11">
                  <c:v>1564537.1577574965</c:v>
                </c:pt>
                <c:pt idx="12">
                  <c:v>2151238.5919165583</c:v>
                </c:pt>
                <c:pt idx="13">
                  <c:v>2346805.7366362456</c:v>
                </c:pt>
                <c:pt idx="14">
                  <c:v>2835723.5984354634</c:v>
                </c:pt>
                <c:pt idx="15">
                  <c:v>2933507.1707953066</c:v>
                </c:pt>
                <c:pt idx="16">
                  <c:v>3145819.7522816174</c:v>
                </c:pt>
                <c:pt idx="17">
                  <c:v>3145819.7522816174</c:v>
                </c:pt>
                <c:pt idx="18">
                  <c:v>3145819.7522816174</c:v>
                </c:pt>
              </c:numCache>
            </c:numRef>
          </c:val>
        </c:ser>
        <c:ser>
          <c:idx val="7"/>
          <c:order val="7"/>
          <c:tx>
            <c:strRef>
              <c:f>'Прогноз дох-расх'!$A$10</c:f>
              <c:strCache>
                <c:ptCount val="1"/>
                <c:pt idx="0">
                  <c:v>Налог на прибыль 20%</c:v>
                </c:pt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дох-расх'!$B$10:$T$10</c:f>
              <c:numCache>
                <c:formatCode>0</c:formatCode>
                <c:ptCount val="19"/>
                <c:pt idx="0">
                  <c:v>31290.743155149936</c:v>
                </c:pt>
                <c:pt idx="1">
                  <c:v>50847.45762711866</c:v>
                </c:pt>
                <c:pt idx="2">
                  <c:v>78226.857887874823</c:v>
                </c:pt>
                <c:pt idx="3">
                  <c:v>117340.28683181229</c:v>
                </c:pt>
                <c:pt idx="4">
                  <c:v>156453.71577574965</c:v>
                </c:pt>
                <c:pt idx="5">
                  <c:v>195567.14471968712</c:v>
                </c:pt>
                <c:pt idx="6">
                  <c:v>209647.9791395046</c:v>
                </c:pt>
                <c:pt idx="7">
                  <c:v>209647.9791395046</c:v>
                </c:pt>
                <c:pt idx="8">
                  <c:v>209647.9791395046</c:v>
                </c:pt>
                <c:pt idx="9">
                  <c:v>234680.57366362459</c:v>
                </c:pt>
                <c:pt idx="10">
                  <c:v>273794.00260756206</c:v>
                </c:pt>
                <c:pt idx="11">
                  <c:v>312907.43155149929</c:v>
                </c:pt>
                <c:pt idx="12">
                  <c:v>430247.7183833117</c:v>
                </c:pt>
                <c:pt idx="13">
                  <c:v>469361.14732724917</c:v>
                </c:pt>
                <c:pt idx="14">
                  <c:v>567144.7196870927</c:v>
                </c:pt>
                <c:pt idx="15">
                  <c:v>586701.43415906129</c:v>
                </c:pt>
                <c:pt idx="16">
                  <c:v>629163.95045632357</c:v>
                </c:pt>
                <c:pt idx="17">
                  <c:v>629163.95045632357</c:v>
                </c:pt>
                <c:pt idx="18">
                  <c:v>629163.95045632357</c:v>
                </c:pt>
              </c:numCache>
            </c:numRef>
          </c:val>
        </c:ser>
        <c:ser>
          <c:idx val="8"/>
          <c:order val="8"/>
          <c:tx>
            <c:strRef>
              <c:f>'Прогноз дох-расх'!$A$11</c:f>
              <c:strCache>
                <c:ptCount val="1"/>
                <c:pt idx="0">
                  <c:v>Прибыль</c:v>
                </c:pt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дох-расх'!$B$11:$T$11</c:f>
              <c:numCache>
                <c:formatCode>_-* #,##0.00_р_._-;\-* #,##0.00_р_._-;_-* "-"??_р_._-;_-@_-</c:formatCode>
                <c:ptCount val="19"/>
                <c:pt idx="0">
                  <c:v>156453.71577574968</c:v>
                </c:pt>
                <c:pt idx="1">
                  <c:v>254237.28813559329</c:v>
                </c:pt>
                <c:pt idx="2">
                  <c:v>391134.28943937412</c:v>
                </c:pt>
                <c:pt idx="3">
                  <c:v>586701.43415906141</c:v>
                </c:pt>
                <c:pt idx="4">
                  <c:v>782268.57887874823</c:v>
                </c:pt>
                <c:pt idx="5">
                  <c:v>977835.72359843552</c:v>
                </c:pt>
                <c:pt idx="6">
                  <c:v>1048239.8956975229</c:v>
                </c:pt>
                <c:pt idx="7">
                  <c:v>1048239.8956975229</c:v>
                </c:pt>
                <c:pt idx="8">
                  <c:v>1048239.8956975229</c:v>
                </c:pt>
                <c:pt idx="9">
                  <c:v>1173402.8683181228</c:v>
                </c:pt>
                <c:pt idx="10">
                  <c:v>1368970.0130378101</c:v>
                </c:pt>
                <c:pt idx="11">
                  <c:v>1564537.1577574965</c:v>
                </c:pt>
                <c:pt idx="12">
                  <c:v>2151238.5919165583</c:v>
                </c:pt>
                <c:pt idx="13">
                  <c:v>2346805.7366362456</c:v>
                </c:pt>
                <c:pt idx="14">
                  <c:v>2835723.5984354634</c:v>
                </c:pt>
                <c:pt idx="15">
                  <c:v>2933507.1707953066</c:v>
                </c:pt>
                <c:pt idx="16">
                  <c:v>3145819.7522816174</c:v>
                </c:pt>
                <c:pt idx="17">
                  <c:v>3145819.7522816174</c:v>
                </c:pt>
                <c:pt idx="18">
                  <c:v>3145819.7522816174</c:v>
                </c:pt>
              </c:numCache>
            </c:numRef>
          </c:val>
        </c:ser>
        <c:ser>
          <c:idx val="9"/>
          <c:order val="9"/>
          <c:tx>
            <c:strRef>
              <c:f>'Прогноз дох-расх'!$A$12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дох-расх'!$B$12:$T$12</c:f>
              <c:numCache>
                <c:formatCode>#,##0</c:formatCode>
                <c:ptCount val="19"/>
              </c:numCache>
            </c:numRef>
          </c:val>
        </c:ser>
        <c:ser>
          <c:idx val="10"/>
          <c:order val="10"/>
          <c:tx>
            <c:strRef>
              <c:f>'Прогноз дох-расх'!$A$13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дох-расх'!$B$13:$T$13</c:f>
              <c:numCache>
                <c:formatCode>#,##0</c:formatCode>
                <c:ptCount val="19"/>
              </c:numCache>
            </c:numRef>
          </c:val>
        </c:ser>
        <c:ser>
          <c:idx val="11"/>
          <c:order val="11"/>
          <c:tx>
            <c:strRef>
              <c:f>'Прогноз дох-расх'!$A$14</c:f>
              <c:strCache>
                <c:ptCount val="1"/>
                <c:pt idx="0">
                  <c:v>Распределяемая прибыль</c:v>
                </c:pt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дох-расх'!$B$14:$T$14</c:f>
              <c:numCache>
                <c:formatCode>#,##0</c:formatCode>
                <c:ptCount val="19"/>
                <c:pt idx="0">
                  <c:v>156453.71577574968</c:v>
                </c:pt>
                <c:pt idx="1">
                  <c:v>254237.28813559329</c:v>
                </c:pt>
                <c:pt idx="2">
                  <c:v>391134.28943937412</c:v>
                </c:pt>
                <c:pt idx="3">
                  <c:v>586701.43415906141</c:v>
                </c:pt>
                <c:pt idx="4">
                  <c:v>782268.57887874823</c:v>
                </c:pt>
                <c:pt idx="5">
                  <c:v>977835.72359843552</c:v>
                </c:pt>
                <c:pt idx="6">
                  <c:v>1048239.8956975229</c:v>
                </c:pt>
                <c:pt idx="7">
                  <c:v>1048239.8956975229</c:v>
                </c:pt>
                <c:pt idx="8">
                  <c:v>1048239.8956975229</c:v>
                </c:pt>
                <c:pt idx="9">
                  <c:v>1173402.8683181228</c:v>
                </c:pt>
                <c:pt idx="10">
                  <c:v>1368970.0130378101</c:v>
                </c:pt>
                <c:pt idx="11">
                  <c:v>1564537.1577574965</c:v>
                </c:pt>
                <c:pt idx="12">
                  <c:v>2151238.5919165583</c:v>
                </c:pt>
                <c:pt idx="13">
                  <c:v>2346805.7366362456</c:v>
                </c:pt>
                <c:pt idx="14">
                  <c:v>2835723.5984354634</c:v>
                </c:pt>
                <c:pt idx="15">
                  <c:v>2933507.1707953066</c:v>
                </c:pt>
                <c:pt idx="16">
                  <c:v>3145819.7522816174</c:v>
                </c:pt>
                <c:pt idx="17">
                  <c:v>3145819.7522816174</c:v>
                </c:pt>
                <c:pt idx="18">
                  <c:v>3145819.7522816174</c:v>
                </c:pt>
              </c:numCache>
            </c:numRef>
          </c:val>
        </c:ser>
        <c:ser>
          <c:idx val="12"/>
          <c:order val="12"/>
          <c:tx>
            <c:strRef>
              <c:f>'Прогноз дох-расх'!$A$15</c:f>
              <c:strCache>
                <c:ptCount val="1"/>
                <c:pt idx="0">
                  <c:v>Распределяемая прибыль, нарастающим итогом</c:v>
                </c:pt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дох-расх'!$B$15:$T$15</c:f>
              <c:numCache>
                <c:formatCode>#,##0</c:formatCode>
                <c:ptCount val="19"/>
                <c:pt idx="0">
                  <c:v>156453.71577574968</c:v>
                </c:pt>
                <c:pt idx="1">
                  <c:v>410691.00391134294</c:v>
                </c:pt>
                <c:pt idx="2">
                  <c:v>801825.29335071705</c:v>
                </c:pt>
                <c:pt idx="3">
                  <c:v>1388526.7275097785</c:v>
                </c:pt>
                <c:pt idx="4">
                  <c:v>2170795.3063885267</c:v>
                </c:pt>
                <c:pt idx="5">
                  <c:v>3148631.0299869622</c:v>
                </c:pt>
                <c:pt idx="6">
                  <c:v>4196870.9256844856</c:v>
                </c:pt>
                <c:pt idx="7">
                  <c:v>5245110.8213820085</c:v>
                </c:pt>
                <c:pt idx="8">
                  <c:v>6293350.7170795314</c:v>
                </c:pt>
                <c:pt idx="9">
                  <c:v>7466753.5853976542</c:v>
                </c:pt>
                <c:pt idx="10">
                  <c:v>8835723.5984354652</c:v>
                </c:pt>
                <c:pt idx="11">
                  <c:v>10400260.756192962</c:v>
                </c:pt>
                <c:pt idx="12">
                  <c:v>12551499.348109521</c:v>
                </c:pt>
                <c:pt idx="13">
                  <c:v>14898305.084745767</c:v>
                </c:pt>
                <c:pt idx="14">
                  <c:v>17734028.68318123</c:v>
                </c:pt>
                <c:pt idx="15">
                  <c:v>20667535.853976537</c:v>
                </c:pt>
                <c:pt idx="16">
                  <c:v>23813355.606258154</c:v>
                </c:pt>
                <c:pt idx="17">
                  <c:v>26959175.358539771</c:v>
                </c:pt>
                <c:pt idx="18">
                  <c:v>30104995.110821389</c:v>
                </c:pt>
              </c:numCache>
            </c:numRef>
          </c:val>
        </c:ser>
        <c:marker val="1"/>
        <c:axId val="101399552"/>
        <c:axId val="101417728"/>
      </c:lineChart>
      <c:catAx>
        <c:axId val="101399552"/>
        <c:scaling>
          <c:orientation val="minMax"/>
        </c:scaling>
        <c:axPos val="b"/>
        <c:tickLblPos val="nextTo"/>
        <c:crossAx val="101417728"/>
        <c:crosses val="autoZero"/>
        <c:auto val="1"/>
        <c:lblAlgn val="ctr"/>
        <c:lblOffset val="100"/>
      </c:catAx>
      <c:valAx>
        <c:axId val="101417728"/>
        <c:scaling>
          <c:orientation val="minMax"/>
        </c:scaling>
        <c:axPos val="l"/>
        <c:majorGridlines/>
        <c:numFmt formatCode="_-* #,##0.00_р_._-;\-* #,##0.00_р_._-;_-* &quot;-&quot;??_р_._-;_-@_-" sourceLinked="1"/>
        <c:tickLblPos val="nextTo"/>
        <c:crossAx val="1013995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Выход на рабочие показатели  на первом этапе реализации проекта</a:t>
            </a:r>
            <a:br>
              <a:rPr lang="ru-RU"/>
            </a:br>
            <a:r>
              <a:rPr lang="ru-RU"/>
              <a:t>(точка безубыточности)</a:t>
            </a:r>
          </a:p>
        </c:rich>
      </c:tx>
    </c:title>
    <c:plotArea>
      <c:layout>
        <c:manualLayout>
          <c:layoutTarget val="inner"/>
          <c:xMode val="edge"/>
          <c:yMode val="edge"/>
          <c:x val="0.13821094333512987"/>
          <c:y val="9.9542084932057004E-2"/>
          <c:w val="0.52019457251784462"/>
          <c:h val="0.8875545609790122"/>
        </c:manualLayout>
      </c:layout>
      <c:lineChart>
        <c:grouping val="standard"/>
        <c:ser>
          <c:idx val="0"/>
          <c:order val="0"/>
          <c:tx>
            <c:strRef>
              <c:f>'Прогноз дох-расх'!$A$3</c:f>
              <c:strCache>
                <c:ptCount val="1"/>
                <c:pt idx="0">
                  <c:v>Выручка с НДС</c:v>
                </c:pt>
              </c:strCache>
            </c:strRef>
          </c:tx>
          <c:marker>
            <c:symbol val="none"/>
          </c:marker>
          <c:cat>
            <c:strRef>
              <c:f>'Прогноз дох-расх'!$B$2:$M$2</c:f>
              <c:strCache>
                <c:ptCount val="12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</c:strCache>
            </c:strRef>
          </c:cat>
          <c:val>
            <c:numRef>
              <c:f>'Прогноз дох-расх'!$B$3:$J$3</c:f>
              <c:numCache>
                <c:formatCode>_-* #,##0.00_р_._-;\-* #,##0.00_р_._-;_-* "-"??_р_._-;_-@_-</c:formatCode>
                <c:ptCount val="9"/>
                <c:pt idx="0">
                  <c:v>800000</c:v>
                </c:pt>
                <c:pt idx="1">
                  <c:v>1300000</c:v>
                </c:pt>
                <c:pt idx="2">
                  <c:v>2000000</c:v>
                </c:pt>
                <c:pt idx="3">
                  <c:v>3000000</c:v>
                </c:pt>
                <c:pt idx="4">
                  <c:v>4000000</c:v>
                </c:pt>
                <c:pt idx="5">
                  <c:v>5000000</c:v>
                </c:pt>
                <c:pt idx="6">
                  <c:v>5360000</c:v>
                </c:pt>
                <c:pt idx="7">
                  <c:v>5360000</c:v>
                </c:pt>
                <c:pt idx="8">
                  <c:v>5360000</c:v>
                </c:pt>
              </c:numCache>
            </c:numRef>
          </c:val>
        </c:ser>
        <c:ser>
          <c:idx val="1"/>
          <c:order val="1"/>
          <c:tx>
            <c:strRef>
              <c:f>'Прогноз дох-расх'!$A$4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'Прогноз дох-расх'!$B$2:$M$2</c:f>
              <c:strCache>
                <c:ptCount val="12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</c:strCache>
            </c:strRef>
          </c:cat>
          <c:val>
            <c:numRef>
              <c:f>'Прогноз дох-расх'!$B$4:$J$4</c:f>
              <c:numCache>
                <c:formatCode>General</c:formatCode>
                <c:ptCount val="9"/>
              </c:numCache>
            </c:numRef>
          </c:val>
        </c:ser>
        <c:ser>
          <c:idx val="3"/>
          <c:order val="2"/>
          <c:tx>
            <c:strRef>
              <c:f>'Прогноз дох-расх'!$A$6</c:f>
              <c:strCache>
                <c:ptCount val="1"/>
                <c:pt idx="0">
                  <c:v>Себестоимость услуги
( без уч НДС)</c:v>
                </c:pt>
              </c:strCache>
            </c:strRef>
          </c:tx>
          <c:marker>
            <c:symbol val="none"/>
          </c:marker>
          <c:cat>
            <c:strRef>
              <c:f>'Прогноз дох-расх'!$B$2:$M$2</c:f>
              <c:strCache>
                <c:ptCount val="12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</c:strCache>
            </c:strRef>
          </c:cat>
          <c:val>
            <c:numRef>
              <c:f>'Прогноз дох-расх'!$B$6:$J$6</c:f>
              <c:numCache>
                <c:formatCode>_-* #,##0.00_р_._-;\-* #,##0.00_р_._-;_-* "-"??_р_._-;_-@_-</c:formatCode>
                <c:ptCount val="9"/>
                <c:pt idx="0">
                  <c:v>521512.38591916562</c:v>
                </c:pt>
                <c:pt idx="1">
                  <c:v>847457.62711864407</c:v>
                </c:pt>
                <c:pt idx="2">
                  <c:v>1303780.964797914</c:v>
                </c:pt>
                <c:pt idx="3">
                  <c:v>1955671.447196871</c:v>
                </c:pt>
                <c:pt idx="4">
                  <c:v>2607561.9295958281</c:v>
                </c:pt>
                <c:pt idx="5">
                  <c:v>3259452.4119947851</c:v>
                </c:pt>
                <c:pt idx="6">
                  <c:v>3494132.9856584091</c:v>
                </c:pt>
                <c:pt idx="7">
                  <c:v>3494132.9856584091</c:v>
                </c:pt>
                <c:pt idx="8">
                  <c:v>3494132.9856584091</c:v>
                </c:pt>
              </c:numCache>
            </c:numRef>
          </c:val>
        </c:ser>
        <c:ser>
          <c:idx val="8"/>
          <c:order val="3"/>
          <c:tx>
            <c:strRef>
              <c:f>'Прогноз дох-расх'!$A$11</c:f>
              <c:strCache>
                <c:ptCount val="1"/>
                <c:pt idx="0">
                  <c:v>Прибыль</c:v>
                </c:pt>
              </c:strCache>
            </c:strRef>
          </c:tx>
          <c:marker>
            <c:symbol val="none"/>
          </c:marker>
          <c:cat>
            <c:strRef>
              <c:f>'Прогноз дох-расх'!$B$2:$M$2</c:f>
              <c:strCache>
                <c:ptCount val="12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</c:strCache>
            </c:strRef>
          </c:cat>
          <c:val>
            <c:numRef>
              <c:f>'Прогноз дох-расх'!$B$11:$J$11</c:f>
              <c:numCache>
                <c:formatCode>_-* #,##0.00_р_._-;\-* #,##0.00_р_._-;_-* "-"??_р_._-;_-@_-</c:formatCode>
                <c:ptCount val="9"/>
                <c:pt idx="0">
                  <c:v>156453.71577574968</c:v>
                </c:pt>
                <c:pt idx="1">
                  <c:v>254237.28813559329</c:v>
                </c:pt>
                <c:pt idx="2">
                  <c:v>391134.28943937412</c:v>
                </c:pt>
                <c:pt idx="3">
                  <c:v>586701.43415906141</c:v>
                </c:pt>
                <c:pt idx="4">
                  <c:v>782268.57887874823</c:v>
                </c:pt>
                <c:pt idx="5">
                  <c:v>977835.72359843552</c:v>
                </c:pt>
                <c:pt idx="6">
                  <c:v>1048239.8956975229</c:v>
                </c:pt>
                <c:pt idx="7">
                  <c:v>1048239.8956975229</c:v>
                </c:pt>
                <c:pt idx="8">
                  <c:v>1048239.8956975229</c:v>
                </c:pt>
              </c:numCache>
            </c:numRef>
          </c:val>
        </c:ser>
        <c:ser>
          <c:idx val="11"/>
          <c:order val="4"/>
          <c:tx>
            <c:strRef>
              <c:f>'Прогноз дох-расх'!$A$15</c:f>
              <c:strCache>
                <c:ptCount val="1"/>
                <c:pt idx="0">
                  <c:v>Распределяемая прибыль, нарастающим итогом</c:v>
                </c:pt>
              </c:strCache>
            </c:strRef>
          </c:tx>
          <c:marker>
            <c:symbol val="none"/>
          </c:marker>
          <c:cat>
            <c:strRef>
              <c:f>'Прогноз дох-расх'!$B$2:$M$2</c:f>
              <c:strCache>
                <c:ptCount val="12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</c:strCache>
            </c:strRef>
          </c:cat>
          <c:val>
            <c:numRef>
              <c:f>'Прогноз дох-расх'!$B$15:$J$15</c:f>
              <c:numCache>
                <c:formatCode>#,##0</c:formatCode>
                <c:ptCount val="9"/>
                <c:pt idx="0">
                  <c:v>156453.71577574968</c:v>
                </c:pt>
                <c:pt idx="1">
                  <c:v>410691.00391134294</c:v>
                </c:pt>
                <c:pt idx="2">
                  <c:v>801825.29335071705</c:v>
                </c:pt>
                <c:pt idx="3">
                  <c:v>1388526.7275097785</c:v>
                </c:pt>
                <c:pt idx="4">
                  <c:v>2170795.3063885267</c:v>
                </c:pt>
                <c:pt idx="5">
                  <c:v>3148631.0299869622</c:v>
                </c:pt>
                <c:pt idx="6">
                  <c:v>4196870.9256844856</c:v>
                </c:pt>
                <c:pt idx="7">
                  <c:v>5245110.8213820085</c:v>
                </c:pt>
                <c:pt idx="8">
                  <c:v>6293350.7170795314</c:v>
                </c:pt>
              </c:numCache>
            </c:numRef>
          </c:val>
        </c:ser>
        <c:marker val="1"/>
        <c:axId val="119427072"/>
        <c:axId val="119428608"/>
      </c:lineChart>
      <c:catAx>
        <c:axId val="119427072"/>
        <c:scaling>
          <c:orientation val="minMax"/>
        </c:scaling>
        <c:axPos val="b"/>
        <c:majorGridlines/>
        <c:majorTickMark val="none"/>
        <c:tickLblPos val="nextTo"/>
        <c:crossAx val="119428608"/>
        <c:crosses val="autoZero"/>
        <c:auto val="1"/>
        <c:lblAlgn val="ctr"/>
        <c:lblOffset val="100"/>
      </c:catAx>
      <c:valAx>
        <c:axId val="119428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Рубль</a:t>
                </a:r>
              </a:p>
            </c:rich>
          </c:tx>
        </c:title>
        <c:numFmt formatCode="_-* #,##0.00_р_._-;\-* #,##0.00_р_._-;_-* &quot;-&quot;??_р_._-;_-@_-" sourceLinked="1"/>
        <c:majorTickMark val="none"/>
        <c:tickLblPos val="nextTo"/>
        <c:crossAx val="119427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09901691193762"/>
          <c:y val="0.10511751388612793"/>
          <c:w val="0.33240930529572194"/>
          <c:h val="0.87078284097141123"/>
        </c:manualLayout>
      </c:layout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baseline="0"/>
              <a:t>График: план развития компании на первом и втором этапах развития: активный выход на регионы.</a:t>
            </a:r>
            <a:endParaRPr lang="ru-RU"/>
          </a:p>
        </c:rich>
      </c:tx>
    </c:title>
    <c:plotArea>
      <c:layout>
        <c:manualLayout>
          <c:layoutTarget val="inner"/>
          <c:xMode val="edge"/>
          <c:yMode val="edge"/>
          <c:x val="0.20298304452925794"/>
          <c:y val="1.2787331660266502E-2"/>
          <c:w val="0.71637124230731564"/>
          <c:h val="0.91581227696025358"/>
        </c:manualLayout>
      </c:layout>
      <c:lineChart>
        <c:grouping val="standard"/>
        <c:ser>
          <c:idx val="0"/>
          <c:order val="0"/>
          <c:tx>
            <c:strRef>
              <c:f>'Прогноз дох-расх'!$A$3</c:f>
              <c:strCache>
                <c:ptCount val="1"/>
                <c:pt idx="0">
                  <c:v>Выручка с НДС</c:v>
                </c:pt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дох-расх'!$B$3:$T$3</c:f>
              <c:numCache>
                <c:formatCode>_-* #,##0.00_р_._-;\-* #,##0.00_р_._-;_-* "-"??_р_._-;_-@_-</c:formatCode>
                <c:ptCount val="19"/>
                <c:pt idx="0">
                  <c:v>800000</c:v>
                </c:pt>
                <c:pt idx="1">
                  <c:v>1300000</c:v>
                </c:pt>
                <c:pt idx="2">
                  <c:v>2000000</c:v>
                </c:pt>
                <c:pt idx="3">
                  <c:v>3000000</c:v>
                </c:pt>
                <c:pt idx="4">
                  <c:v>4000000</c:v>
                </c:pt>
                <c:pt idx="5">
                  <c:v>5000000</c:v>
                </c:pt>
                <c:pt idx="6">
                  <c:v>5360000</c:v>
                </c:pt>
                <c:pt idx="7">
                  <c:v>5360000</c:v>
                </c:pt>
                <c:pt idx="8">
                  <c:v>5360000</c:v>
                </c:pt>
                <c:pt idx="9">
                  <c:v>6000000</c:v>
                </c:pt>
                <c:pt idx="10">
                  <c:v>7000000</c:v>
                </c:pt>
                <c:pt idx="11">
                  <c:v>8000000</c:v>
                </c:pt>
                <c:pt idx="12">
                  <c:v>11000000</c:v>
                </c:pt>
                <c:pt idx="13">
                  <c:v>12000000</c:v>
                </c:pt>
                <c:pt idx="14">
                  <c:v>14500000</c:v>
                </c:pt>
                <c:pt idx="15">
                  <c:v>15000000</c:v>
                </c:pt>
                <c:pt idx="16">
                  <c:v>16085625</c:v>
                </c:pt>
                <c:pt idx="17">
                  <c:v>16085625</c:v>
                </c:pt>
                <c:pt idx="18">
                  <c:v>16085625</c:v>
                </c:pt>
              </c:numCache>
            </c:numRef>
          </c:val>
        </c:ser>
        <c:ser>
          <c:idx val="1"/>
          <c:order val="1"/>
          <c:tx>
            <c:strRef>
              <c:f>'Прогноз дох-расх'!$A$4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дох-расх'!$B$4:$T$4</c:f>
              <c:numCache>
                <c:formatCode>General</c:formatCode>
                <c:ptCount val="19"/>
              </c:numCache>
            </c:numRef>
          </c:val>
        </c:ser>
        <c:ser>
          <c:idx val="3"/>
          <c:order val="2"/>
          <c:tx>
            <c:strRef>
              <c:f>'Прогноз дох-расх'!$A$6</c:f>
              <c:strCache>
                <c:ptCount val="1"/>
                <c:pt idx="0">
                  <c:v>Себестоимость услуги
( без уч НДС)</c:v>
                </c:pt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дох-расх'!$B$6:$T$6</c:f>
              <c:numCache>
                <c:formatCode>_-* #,##0.00_р_._-;\-* #,##0.00_р_._-;_-* "-"??_р_._-;_-@_-</c:formatCode>
                <c:ptCount val="19"/>
                <c:pt idx="0">
                  <c:v>521512.38591916562</c:v>
                </c:pt>
                <c:pt idx="1">
                  <c:v>847457.62711864407</c:v>
                </c:pt>
                <c:pt idx="2">
                  <c:v>1303780.964797914</c:v>
                </c:pt>
                <c:pt idx="3">
                  <c:v>1955671.447196871</c:v>
                </c:pt>
                <c:pt idx="4">
                  <c:v>2607561.9295958281</c:v>
                </c:pt>
                <c:pt idx="5">
                  <c:v>3259452.4119947851</c:v>
                </c:pt>
                <c:pt idx="6">
                  <c:v>3494132.9856584091</c:v>
                </c:pt>
                <c:pt idx="7">
                  <c:v>3494132.9856584091</c:v>
                </c:pt>
                <c:pt idx="8">
                  <c:v>3494132.9856584091</c:v>
                </c:pt>
                <c:pt idx="9">
                  <c:v>3911342.8943937421</c:v>
                </c:pt>
                <c:pt idx="10">
                  <c:v>4563233.3767926991</c:v>
                </c:pt>
                <c:pt idx="11">
                  <c:v>5215123.8591916561</c:v>
                </c:pt>
                <c:pt idx="12">
                  <c:v>7170795.3063885262</c:v>
                </c:pt>
                <c:pt idx="13">
                  <c:v>7822685.7887874842</c:v>
                </c:pt>
                <c:pt idx="14">
                  <c:v>9452411.9947848767</c:v>
                </c:pt>
                <c:pt idx="15">
                  <c:v>9778357.2359843552</c:v>
                </c:pt>
                <c:pt idx="16">
                  <c:v>10486065.840938723</c:v>
                </c:pt>
                <c:pt idx="17">
                  <c:v>10486065.840938723</c:v>
                </c:pt>
                <c:pt idx="18">
                  <c:v>10486065.840938723</c:v>
                </c:pt>
              </c:numCache>
            </c:numRef>
          </c:val>
        </c:ser>
        <c:ser>
          <c:idx val="12"/>
          <c:order val="3"/>
          <c:tx>
            <c:strRef>
              <c:f>'Прогноз дох-расх'!$A$15</c:f>
              <c:strCache>
                <c:ptCount val="1"/>
                <c:pt idx="0">
                  <c:v>Распределяемая прибыль, нарастающим итогом</c:v>
                </c:pt>
              </c:strCache>
            </c:strRef>
          </c:tx>
          <c:marker>
            <c:symbol val="none"/>
          </c:marker>
          <c:cat>
            <c:strRef>
              <c:f>'Прогноз дох-расх'!$B$2:$T$2</c:f>
              <c:strCache>
                <c:ptCount val="19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</c:strCache>
            </c:strRef>
          </c:cat>
          <c:val>
            <c:numRef>
              <c:f>'Прогноз дох-расх'!$B$15:$T$15</c:f>
              <c:numCache>
                <c:formatCode>#,##0</c:formatCode>
                <c:ptCount val="19"/>
                <c:pt idx="0">
                  <c:v>156453.71577574968</c:v>
                </c:pt>
                <c:pt idx="1">
                  <c:v>410691.00391134294</c:v>
                </c:pt>
                <c:pt idx="2">
                  <c:v>801825.29335071705</c:v>
                </c:pt>
                <c:pt idx="3">
                  <c:v>1388526.7275097785</c:v>
                </c:pt>
                <c:pt idx="4">
                  <c:v>2170795.3063885267</c:v>
                </c:pt>
                <c:pt idx="5">
                  <c:v>3148631.0299869622</c:v>
                </c:pt>
                <c:pt idx="6">
                  <c:v>4196870.9256844856</c:v>
                </c:pt>
                <c:pt idx="7">
                  <c:v>5245110.8213820085</c:v>
                </c:pt>
                <c:pt idx="8">
                  <c:v>6293350.7170795314</c:v>
                </c:pt>
                <c:pt idx="9">
                  <c:v>7466753.5853976542</c:v>
                </c:pt>
                <c:pt idx="10">
                  <c:v>8835723.5984354652</c:v>
                </c:pt>
                <c:pt idx="11">
                  <c:v>10400260.756192962</c:v>
                </c:pt>
                <c:pt idx="12">
                  <c:v>12551499.348109521</c:v>
                </c:pt>
                <c:pt idx="13">
                  <c:v>14898305.084745767</c:v>
                </c:pt>
                <c:pt idx="14">
                  <c:v>17734028.68318123</c:v>
                </c:pt>
                <c:pt idx="15">
                  <c:v>20667535.853976537</c:v>
                </c:pt>
                <c:pt idx="16">
                  <c:v>23813355.606258154</c:v>
                </c:pt>
                <c:pt idx="17">
                  <c:v>26959175.358539771</c:v>
                </c:pt>
                <c:pt idx="18">
                  <c:v>30104995.110821389</c:v>
                </c:pt>
              </c:numCache>
            </c:numRef>
          </c:val>
        </c:ser>
        <c:ser>
          <c:idx val="2"/>
          <c:order val="4"/>
          <c:tx>
            <c:strRef>
              <c:f>'Прогноз дох-расх'!$A$11</c:f>
              <c:strCache>
                <c:ptCount val="1"/>
                <c:pt idx="0">
                  <c:v>Прибыль</c:v>
                </c:pt>
              </c:strCache>
            </c:strRef>
          </c:tx>
          <c:marker>
            <c:symbol val="none"/>
          </c:marker>
          <c:val>
            <c:numRef>
              <c:f>'Прогноз дох-расх'!$B$11:$T$11</c:f>
              <c:numCache>
                <c:formatCode>_-* #,##0.00_р_._-;\-* #,##0.00_р_._-;_-* "-"??_р_._-;_-@_-</c:formatCode>
                <c:ptCount val="19"/>
                <c:pt idx="0">
                  <c:v>156453.71577574968</c:v>
                </c:pt>
                <c:pt idx="1">
                  <c:v>254237.28813559329</c:v>
                </c:pt>
                <c:pt idx="2">
                  <c:v>391134.28943937412</c:v>
                </c:pt>
                <c:pt idx="3">
                  <c:v>586701.43415906141</c:v>
                </c:pt>
                <c:pt idx="4">
                  <c:v>782268.57887874823</c:v>
                </c:pt>
                <c:pt idx="5">
                  <c:v>977835.72359843552</c:v>
                </c:pt>
                <c:pt idx="6">
                  <c:v>1048239.8956975229</c:v>
                </c:pt>
                <c:pt idx="7">
                  <c:v>1048239.8956975229</c:v>
                </c:pt>
                <c:pt idx="8">
                  <c:v>1048239.8956975229</c:v>
                </c:pt>
                <c:pt idx="9">
                  <c:v>1173402.8683181228</c:v>
                </c:pt>
                <c:pt idx="10">
                  <c:v>1368970.0130378101</c:v>
                </c:pt>
                <c:pt idx="11">
                  <c:v>1564537.1577574965</c:v>
                </c:pt>
                <c:pt idx="12">
                  <c:v>2151238.5919165583</c:v>
                </c:pt>
                <c:pt idx="13">
                  <c:v>2346805.7366362456</c:v>
                </c:pt>
                <c:pt idx="14">
                  <c:v>2835723.5984354634</c:v>
                </c:pt>
                <c:pt idx="15">
                  <c:v>2933507.1707953066</c:v>
                </c:pt>
                <c:pt idx="16">
                  <c:v>3145819.7522816174</c:v>
                </c:pt>
                <c:pt idx="17">
                  <c:v>3145819.7522816174</c:v>
                </c:pt>
                <c:pt idx="18">
                  <c:v>3145819.7522816174</c:v>
                </c:pt>
              </c:numCache>
            </c:numRef>
          </c:val>
        </c:ser>
        <c:marker val="1"/>
        <c:axId val="119462144"/>
        <c:axId val="119468032"/>
      </c:lineChart>
      <c:catAx>
        <c:axId val="119462144"/>
        <c:scaling>
          <c:orientation val="minMax"/>
        </c:scaling>
        <c:axPos val="b"/>
        <c:majorTickMark val="none"/>
        <c:tickLblPos val="nextTo"/>
        <c:crossAx val="119468032"/>
        <c:crosses val="autoZero"/>
        <c:auto val="1"/>
        <c:lblAlgn val="ctr"/>
        <c:lblOffset val="100"/>
      </c:catAx>
      <c:valAx>
        <c:axId val="1194680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ru-RU" sz="1800"/>
                  <a:t>Рубли      </a:t>
                </a:r>
              </a:p>
            </c:rich>
          </c:tx>
          <c:layout>
            <c:manualLayout>
              <c:xMode val="edge"/>
              <c:yMode val="edge"/>
              <c:x val="1.7326537853617737E-3"/>
              <c:y val="0.4372550684066463"/>
            </c:manualLayout>
          </c:layout>
        </c:title>
        <c:numFmt formatCode="_-* #,##0.00_р_._-;\-* #,##0.00_р_._-;_-* &quot;-&quot;??_р_._-;_-@_-" sourceLinked="1"/>
        <c:majorTickMark val="none"/>
        <c:tickLblPos val="nextTo"/>
        <c:txPr>
          <a:bodyPr/>
          <a:lstStyle/>
          <a:p>
            <a:pPr>
              <a:defRPr sz="1300" baseline="0"/>
            </a:pPr>
            <a:endParaRPr lang="ru-RU"/>
          </a:p>
        </c:txPr>
        <c:crossAx val="119462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47151384789662"/>
          <c:y val="0.38270588339414796"/>
          <c:w val="0.19252848615210513"/>
          <c:h val="0.60462956626533171"/>
        </c:manualLayout>
      </c:layout>
      <c:txPr>
        <a:bodyPr/>
        <a:lstStyle/>
        <a:p>
          <a:pPr>
            <a:defRPr sz="1600"/>
          </a:pPr>
          <a:endParaRPr lang="ru-RU"/>
        </a:p>
      </c:txPr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366737</xdr:colOff>
      <xdr:row>23</xdr:row>
      <xdr:rowOff>101870</xdr:rowOff>
    </xdr:from>
    <xdr:to>
      <xdr:col>14</xdr:col>
      <xdr:colOff>257735</xdr:colOff>
      <xdr:row>65</xdr:row>
      <xdr:rowOff>123263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453118</xdr:colOff>
      <xdr:row>1</xdr:row>
      <xdr:rowOff>78922</xdr:rowOff>
    </xdr:from>
    <xdr:to>
      <xdr:col>18</xdr:col>
      <xdr:colOff>159524</xdr:colOff>
      <xdr:row>32</xdr:row>
      <xdr:rowOff>179776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341417</xdr:colOff>
      <xdr:row>40</xdr:row>
      <xdr:rowOff>38347</xdr:rowOff>
    </xdr:from>
    <xdr:to>
      <xdr:col>26</xdr:col>
      <xdr:colOff>108858</xdr:colOff>
      <xdr:row>82</xdr:row>
      <xdr:rowOff>59740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18</xdr:col>
      <xdr:colOff>-1</xdr:colOff>
      <xdr:row>44</xdr:row>
      <xdr:rowOff>163286</xdr:rowOff>
    </xdr:from>
    <xdr:ext cx="5157107" cy="1783180"/>
    <xdr:sp macro="" textlink="">
      <xdr:nvSpPr>
        <xdr:cNvPr id="6" name="TextBox 5"/>
        <xdr:cNvSpPr txBox="1"/>
      </xdr:nvSpPr>
      <xdr:spPr>
        <a:xfrm>
          <a:off x="11021785" y="8545286"/>
          <a:ext cx="5157107" cy="1783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800" b="1"/>
            <a:t>По</a:t>
          </a:r>
          <a:r>
            <a:rPr lang="ru-RU" sz="1800" b="1" baseline="0"/>
            <a:t> окончании реализации 2го этапа, и достижении стабильных показателей по прибыли при средней выручке 16М руб. начнется реализация проекла по выходу на междунарожные рынки (Китай) и освоению смежных сегментов рынка</a:t>
          </a:r>
          <a:endParaRPr lang="ru-RU" sz="1800" b="1"/>
        </a:p>
      </xdr:txBody>
    </xdr:sp>
    <xdr:clientData/>
  </xdr:oneCellAnchor>
  <xdr:twoCellAnchor>
    <xdr:from>
      <xdr:col>20</xdr:col>
      <xdr:colOff>149678</xdr:colOff>
      <xdr:row>54</xdr:row>
      <xdr:rowOff>68036</xdr:rowOff>
    </xdr:from>
    <xdr:to>
      <xdr:col>21</xdr:col>
      <xdr:colOff>353786</xdr:colOff>
      <xdr:row>71</xdr:row>
      <xdr:rowOff>68036</xdr:rowOff>
    </xdr:to>
    <xdr:sp macro="" textlink="">
      <xdr:nvSpPr>
        <xdr:cNvPr id="7" name="Стрелка вниз 6"/>
        <xdr:cNvSpPr/>
      </xdr:nvSpPr>
      <xdr:spPr>
        <a:xfrm>
          <a:off x="12396107" y="10355036"/>
          <a:ext cx="816429" cy="3238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0.50647</cdr:x>
      <cdr:y>0.69234</cdr:y>
    </cdr:from>
    <cdr:to>
      <cdr:x>0.70943</cdr:x>
      <cdr:y>0.77036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45332" y="5554189"/>
          <a:ext cx="3184071" cy="62592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800" b="1"/>
            <a:t>Точка</a:t>
          </a:r>
          <a:r>
            <a:rPr lang="ru-RU" sz="1800" b="1" baseline="0"/>
            <a:t> безубыточности ЭТАП 2</a:t>
          </a:r>
          <a:br>
            <a:rPr lang="ru-RU" sz="1800" b="1" baseline="0"/>
          </a:br>
          <a:r>
            <a:rPr lang="ru-RU" sz="1800" b="1" baseline="0"/>
            <a:t>- 13-14 месяц работы</a:t>
          </a:r>
          <a:endParaRPr lang="ru-RU" sz="1800" b="1"/>
        </a:p>
      </cdr:txBody>
    </cdr:sp>
  </cdr:relSizeAnchor>
  <cdr:relSizeAnchor xmlns:cdr="http://schemas.openxmlformats.org/drawingml/2006/chartDrawing">
    <cdr:from>
      <cdr:x>0.1596</cdr:x>
      <cdr:y>0.73613</cdr:y>
    </cdr:from>
    <cdr:to>
      <cdr:x>0.36256</cdr:x>
      <cdr:y>0.81415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03716" y="5905500"/>
          <a:ext cx="3184071" cy="62592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800" b="1"/>
            <a:t>Точка</a:t>
          </a:r>
          <a:r>
            <a:rPr lang="ru-RU" sz="1800" b="1" baseline="0"/>
            <a:t> безубыточности ЭТАП 1</a:t>
          </a:r>
          <a:br>
            <a:rPr lang="ru-RU" sz="1800" b="1" baseline="0"/>
          </a:br>
          <a:r>
            <a:rPr lang="ru-RU" sz="1800" b="1" baseline="0"/>
            <a:t>- 5-6 месяц работы</a:t>
          </a:r>
          <a:endParaRPr lang="ru-RU" sz="1800" b="1"/>
        </a:p>
      </cdr:txBody>
    </cdr:sp>
  </cdr:relSizeAnchor>
  <cdr:relSizeAnchor xmlns:cdr="http://schemas.openxmlformats.org/drawingml/2006/chartDrawing">
    <cdr:from>
      <cdr:x>0.23758</cdr:x>
      <cdr:y>0.80767</cdr:y>
    </cdr:from>
    <cdr:to>
      <cdr:x>0.24105</cdr:x>
      <cdr:y>0.87382</cdr:y>
    </cdr:to>
    <cdr:sp macro="" textlink="">
      <cdr:nvSpPr>
        <cdr:cNvPr id="5" name="Прямая со стрелкой 4"/>
        <cdr:cNvSpPr/>
      </cdr:nvSpPr>
      <cdr:spPr>
        <a:xfrm xmlns:a="http://schemas.openxmlformats.org/drawingml/2006/main" rot="16200000" flipH="1">
          <a:off x="3727117" y="6479474"/>
          <a:ext cx="54430" cy="53067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0.5932</cdr:x>
      <cdr:y>0.77375</cdr:y>
    </cdr:from>
    <cdr:to>
      <cdr:x>0.60361</cdr:x>
      <cdr:y>0.82294</cdr:y>
    </cdr:to>
    <cdr:sp macro="" textlink="">
      <cdr:nvSpPr>
        <cdr:cNvPr id="7" name="Прямая со стрелкой 6"/>
        <cdr:cNvSpPr/>
      </cdr:nvSpPr>
      <cdr:spPr>
        <a:xfrm xmlns:a="http://schemas.openxmlformats.org/drawingml/2006/main" rot="16200000" flipH="1">
          <a:off x="9190389" y="6322996"/>
          <a:ext cx="394607" cy="16328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 b="0" cap="none" spc="0">
            <a:ln w="18415" cmpd="sng">
              <a:solidFill>
                <a:sysClr val="windowText" lastClr="000000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0.2636</cdr:x>
      <cdr:y>0.51254</cdr:y>
    </cdr:from>
    <cdr:to>
      <cdr:x>0.52902</cdr:x>
      <cdr:y>0.6635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135333" y="4111830"/>
          <a:ext cx="4163786" cy="1211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800" b="1"/>
            <a:t>Увеличение</a:t>
          </a:r>
          <a:r>
            <a:rPr lang="ru-RU" sz="1800" b="1" baseline="0"/>
            <a:t> постоянных затрат, </a:t>
          </a:r>
        </a:p>
        <a:p xmlns:a="http://schemas.openxmlformats.org/drawingml/2006/main">
          <a:r>
            <a:rPr lang="ru-RU" sz="1800" b="1" baseline="0"/>
            <a:t>переход на 2 этап развития компании</a:t>
          </a:r>
        </a:p>
        <a:p xmlns:a="http://schemas.openxmlformats.org/drawingml/2006/main">
          <a:r>
            <a:rPr lang="ru-RU" sz="1800" b="1" baseline="0"/>
            <a:t>(9-10 месяц работы)</a:t>
          </a:r>
          <a:endParaRPr lang="ru-RU" sz="1800" b="1"/>
        </a:p>
      </cdr:txBody>
    </cdr:sp>
  </cdr:relSizeAnchor>
  <cdr:relSizeAnchor xmlns:cdr="http://schemas.openxmlformats.org/drawingml/2006/chartDrawing">
    <cdr:from>
      <cdr:x>0.40151</cdr:x>
      <cdr:y>0.61262</cdr:y>
    </cdr:from>
    <cdr:to>
      <cdr:x>0.4206</cdr:x>
      <cdr:y>0.85347</cdr:y>
    </cdr:to>
    <cdr:sp macro="" textlink="">
      <cdr:nvSpPr>
        <cdr:cNvPr id="10" name="Прямая со стрелкой 9"/>
        <cdr:cNvSpPr/>
      </cdr:nvSpPr>
      <cdr:spPr>
        <a:xfrm xmlns:a="http://schemas.openxmlformats.org/drawingml/2006/main" rot="16200000" flipH="1">
          <a:off x="6298868" y="4914652"/>
          <a:ext cx="299359" cy="193221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0.24218</cdr:x>
      <cdr:y>0.92757</cdr:y>
    </cdr:from>
    <cdr:to>
      <cdr:x>0.44707</cdr:x>
      <cdr:y>0.97373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782211" y="7441368"/>
          <a:ext cx="3199736" cy="370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 baseline="0">
              <a:latin typeface="+mn-lt"/>
              <a:ea typeface="+mn-ea"/>
              <a:cs typeface="+mn-cs"/>
            </a:rPr>
            <a:t>полная окупаемость инвестиций 9й месяц</a:t>
          </a:r>
          <a:endParaRPr lang="ru-RU" sz="1600"/>
        </a:p>
      </cdr:txBody>
    </cdr:sp>
  </cdr:relSizeAnchor>
  <cdr:relSizeAnchor xmlns:cdr="http://schemas.openxmlformats.org/drawingml/2006/chartDrawing">
    <cdr:from>
      <cdr:x>0.32814</cdr:x>
      <cdr:y>0.84906</cdr:y>
    </cdr:from>
    <cdr:to>
      <cdr:x>0.38547</cdr:x>
      <cdr:y>0.93692</cdr:y>
    </cdr:to>
    <cdr:sp macro="" textlink="">
      <cdr:nvSpPr>
        <cdr:cNvPr id="13" name="Прямая со стрелкой 12"/>
        <cdr:cNvSpPr/>
      </cdr:nvSpPr>
      <cdr:spPr>
        <a:xfrm xmlns:a="http://schemas.openxmlformats.org/drawingml/2006/main" rot="5400000" flipH="1" flipV="1">
          <a:off x="5219822" y="6716239"/>
          <a:ext cx="704850" cy="8953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>
      <selection activeCell="A14" sqref="A14"/>
    </sheetView>
  </sheetViews>
  <sheetFormatPr defaultRowHeight="15"/>
  <cols>
    <col min="1" max="2" width="9.140625" style="1"/>
    <col min="3" max="3" width="12.42578125" style="1" bestFit="1" customWidth="1"/>
    <col min="4" max="4" width="12.7109375" style="1" customWidth="1"/>
    <col min="5" max="5" width="12.42578125" style="1" bestFit="1" customWidth="1"/>
    <col min="6" max="6" width="13.28515625" style="1" bestFit="1" customWidth="1"/>
    <col min="7" max="8" width="12.28515625" style="1" bestFit="1" customWidth="1"/>
    <col min="9" max="9" width="13.28515625" style="1" bestFit="1" customWidth="1"/>
    <col min="10" max="10" width="15" style="1" customWidth="1"/>
    <col min="11" max="11" width="11.85546875" style="1" customWidth="1"/>
    <col min="12" max="12" width="12.140625" style="1" customWidth="1"/>
    <col min="13" max="16384" width="9.140625" style="1"/>
  </cols>
  <sheetData>
    <row r="1" spans="1:16" ht="15.75">
      <c r="A1" s="280" t="s">
        <v>192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6" ht="15" customHeight="1">
      <c r="A2" s="290"/>
      <c r="B2" s="291"/>
      <c r="C2" s="7"/>
      <c r="E2" s="7"/>
      <c r="F2" s="7"/>
      <c r="G2" s="7"/>
      <c r="H2" s="7"/>
      <c r="I2" s="7"/>
      <c r="J2" s="142"/>
      <c r="K2" s="284" t="s">
        <v>186</v>
      </c>
      <c r="L2" s="285" t="s">
        <v>187</v>
      </c>
      <c r="M2" s="93"/>
      <c r="N2" s="93"/>
      <c r="O2" s="93"/>
      <c r="P2" s="94"/>
    </row>
    <row r="3" spans="1:16">
      <c r="A3" s="137" t="s">
        <v>0</v>
      </c>
      <c r="B3" s="137"/>
      <c r="C3" s="137" t="s">
        <v>180</v>
      </c>
      <c r="D3" s="137" t="s">
        <v>178</v>
      </c>
      <c r="E3" s="137" t="s">
        <v>181</v>
      </c>
      <c r="F3" s="137" t="s">
        <v>179</v>
      </c>
      <c r="G3" s="137" t="s">
        <v>182</v>
      </c>
      <c r="H3" s="137" t="s">
        <v>183</v>
      </c>
      <c r="I3" s="137" t="s">
        <v>184</v>
      </c>
      <c r="J3" s="7" t="s">
        <v>164</v>
      </c>
      <c r="K3" s="284"/>
      <c r="L3" s="286"/>
    </row>
    <row r="4" spans="1:16">
      <c r="A4" s="7" t="s">
        <v>1</v>
      </c>
      <c r="B4" s="7"/>
      <c r="C4" s="114">
        <v>5000</v>
      </c>
      <c r="D4" s="114">
        <v>5000</v>
      </c>
      <c r="E4" s="114">
        <v>3000</v>
      </c>
      <c r="F4" s="114"/>
      <c r="G4" s="114"/>
      <c r="H4" s="114"/>
      <c r="I4" s="114"/>
      <c r="J4" s="114">
        <f>SUM(C4:I4)</f>
        <v>13000</v>
      </c>
      <c r="K4" s="143">
        <f>J4/$J$10</f>
        <v>0.08</v>
      </c>
      <c r="L4" s="281"/>
    </row>
    <row r="5" spans="1:16">
      <c r="A5" s="7" t="s">
        <v>2</v>
      </c>
      <c r="B5" s="7"/>
      <c r="C5" s="114">
        <v>4500</v>
      </c>
      <c r="D5" s="114">
        <v>3500</v>
      </c>
      <c r="E5" s="114">
        <v>3500</v>
      </c>
      <c r="F5" s="114"/>
      <c r="G5" s="114"/>
      <c r="H5" s="114"/>
      <c r="I5" s="114"/>
      <c r="J5" s="114">
        <f t="shared" ref="J5:J9" si="0">SUM(C5:I5)</f>
        <v>11500</v>
      </c>
      <c r="K5" s="143">
        <f>J5/$J$10</f>
        <v>7.0769230769230765E-2</v>
      </c>
      <c r="L5" s="281"/>
    </row>
    <row r="6" spans="1:16">
      <c r="A6" s="138" t="s">
        <v>3</v>
      </c>
      <c r="B6" s="138"/>
      <c r="C6" s="149">
        <v>25000</v>
      </c>
      <c r="D6" s="149"/>
      <c r="E6" s="149"/>
      <c r="F6" s="149"/>
      <c r="G6" s="149"/>
      <c r="H6" s="149"/>
      <c r="I6" s="149"/>
      <c r="J6" s="149">
        <f t="shared" si="0"/>
        <v>25000</v>
      </c>
      <c r="K6" s="156">
        <f>J6/$J$10</f>
        <v>0.15384615384615385</v>
      </c>
      <c r="L6" s="281"/>
    </row>
    <row r="7" spans="1:16">
      <c r="A7" s="137" t="s">
        <v>4</v>
      </c>
      <c r="B7" s="137"/>
      <c r="C7" s="114"/>
      <c r="D7" s="114"/>
      <c r="E7" s="114"/>
      <c r="F7" s="114"/>
      <c r="G7" s="114"/>
      <c r="H7" s="114"/>
      <c r="I7" s="114"/>
      <c r="J7" s="114"/>
      <c r="K7" s="143"/>
      <c r="L7" s="281"/>
    </row>
    <row r="8" spans="1:16">
      <c r="A8" s="8" t="s">
        <v>5</v>
      </c>
      <c r="B8" s="8"/>
      <c r="C8" s="150">
        <v>25000</v>
      </c>
      <c r="D8" s="150">
        <v>14000</v>
      </c>
      <c r="E8" s="150">
        <v>10000</v>
      </c>
      <c r="F8" s="150">
        <v>14000</v>
      </c>
      <c r="G8" s="150">
        <v>8000</v>
      </c>
      <c r="H8" s="150">
        <v>6000</v>
      </c>
      <c r="I8" s="150">
        <v>10000</v>
      </c>
      <c r="J8" s="150">
        <f t="shared" si="0"/>
        <v>87000</v>
      </c>
      <c r="K8" s="157">
        <f>J8/$J$10</f>
        <v>0.53538461538461535</v>
      </c>
      <c r="L8" s="281"/>
    </row>
    <row r="9" spans="1:16">
      <c r="A9" s="7" t="s">
        <v>6</v>
      </c>
      <c r="B9" s="7"/>
      <c r="C9" s="114">
        <v>16000</v>
      </c>
      <c r="D9" s="114">
        <v>10000</v>
      </c>
      <c r="E9" s="114"/>
      <c r="F9" s="114"/>
      <c r="G9" s="114"/>
      <c r="H9" s="114"/>
      <c r="I9" s="114"/>
      <c r="J9" s="114">
        <f t="shared" si="0"/>
        <v>26000</v>
      </c>
      <c r="K9" s="143">
        <f>J9/$J$10</f>
        <v>0.16</v>
      </c>
      <c r="L9" s="282"/>
    </row>
    <row r="10" spans="1:16">
      <c r="A10" s="146" t="s">
        <v>188</v>
      </c>
      <c r="B10" s="147"/>
      <c r="C10" s="147"/>
      <c r="D10" s="147"/>
      <c r="E10" s="147"/>
      <c r="F10" s="147"/>
      <c r="G10" s="147"/>
      <c r="H10" s="148"/>
      <c r="I10" s="148"/>
      <c r="J10" s="151">
        <f>SUM(J4:J9)</f>
        <v>162500</v>
      </c>
      <c r="K10" s="145"/>
      <c r="L10" s="143">
        <f>J10/C25</f>
        <v>0.21008403361344538</v>
      </c>
    </row>
    <row r="11" spans="1:16">
      <c r="A11" s="3"/>
      <c r="B11" s="3"/>
      <c r="C11" s="3"/>
      <c r="D11" s="3"/>
      <c r="E11" s="3"/>
      <c r="F11" s="3"/>
      <c r="G11" s="3"/>
      <c r="H11" s="2"/>
      <c r="I11" s="2"/>
      <c r="J11" s="5"/>
      <c r="K11" s="6"/>
      <c r="L11" s="139"/>
    </row>
    <row r="12" spans="1:16">
      <c r="A12" s="9" t="s">
        <v>189</v>
      </c>
      <c r="B12" s="10"/>
      <c r="C12" s="10"/>
      <c r="D12" s="154"/>
      <c r="E12" s="10"/>
      <c r="F12" s="154"/>
      <c r="G12" s="154"/>
      <c r="H12" s="154"/>
      <c r="I12" s="155"/>
      <c r="J12" s="152">
        <v>470000</v>
      </c>
      <c r="K12" s="140"/>
      <c r="L12" s="141">
        <f>J12/C25</f>
        <v>0.60762766645119581</v>
      </c>
    </row>
    <row r="13" spans="1:16" s="3" customFormat="1"/>
    <row r="14" spans="1:16">
      <c r="A14" s="144"/>
      <c r="B14" s="7"/>
      <c r="C14" s="7"/>
      <c r="D14" s="7"/>
      <c r="E14" s="7"/>
      <c r="F14" s="7"/>
      <c r="G14" s="7"/>
      <c r="H14" s="7"/>
      <c r="I14" s="7"/>
      <c r="J14" s="7"/>
      <c r="K14" s="7"/>
      <c r="L14" s="287"/>
    </row>
    <row r="15" spans="1:16">
      <c r="A15" s="7" t="s">
        <v>12</v>
      </c>
      <c r="B15" s="7"/>
      <c r="C15" s="137" t="s">
        <v>180</v>
      </c>
      <c r="D15" s="137" t="s">
        <v>178</v>
      </c>
      <c r="E15" s="137" t="s">
        <v>181</v>
      </c>
      <c r="F15" s="137" t="s">
        <v>179</v>
      </c>
      <c r="G15" s="137" t="s">
        <v>182</v>
      </c>
      <c r="H15" s="137" t="s">
        <v>183</v>
      </c>
      <c r="I15" s="137" t="s">
        <v>10</v>
      </c>
      <c r="J15" s="7" t="s">
        <v>11</v>
      </c>
      <c r="K15" s="7"/>
      <c r="L15" s="288"/>
    </row>
    <row r="16" spans="1:16">
      <c r="A16" s="7" t="s">
        <v>1</v>
      </c>
      <c r="B16" s="7"/>
      <c r="C16" s="114">
        <v>4000</v>
      </c>
      <c r="D16" s="114">
        <v>3000</v>
      </c>
      <c r="E16" s="114">
        <v>5000</v>
      </c>
      <c r="F16" s="114"/>
      <c r="G16" s="114"/>
      <c r="H16" s="114"/>
      <c r="I16" s="114">
        <f>SUM(C16:H16)</f>
        <v>12000</v>
      </c>
      <c r="J16" s="143">
        <f>I16/$I$23</f>
        <v>8.5106382978723402E-2</v>
      </c>
      <c r="K16" s="7"/>
      <c r="L16" s="288"/>
      <c r="P16" s="1" t="s">
        <v>165</v>
      </c>
    </row>
    <row r="17" spans="1:13">
      <c r="A17" s="7" t="s">
        <v>7</v>
      </c>
      <c r="B17" s="7"/>
      <c r="C17" s="114">
        <v>5000</v>
      </c>
      <c r="D17" s="114">
        <v>4000</v>
      </c>
      <c r="E17" s="114"/>
      <c r="F17" s="114"/>
      <c r="G17" s="114"/>
      <c r="H17" s="114"/>
      <c r="I17" s="114">
        <f t="shared" ref="I17:I22" si="1">SUM(C17:H17)</f>
        <v>9000</v>
      </c>
      <c r="J17" s="143">
        <f>I17/$I$23</f>
        <v>6.3829787234042548E-2</v>
      </c>
      <c r="K17" s="7"/>
      <c r="L17" s="288"/>
    </row>
    <row r="18" spans="1:13">
      <c r="A18" s="7" t="s">
        <v>3</v>
      </c>
      <c r="B18" s="138"/>
      <c r="C18" s="149">
        <v>15000</v>
      </c>
      <c r="D18" s="149"/>
      <c r="E18" s="149"/>
      <c r="F18" s="149"/>
      <c r="G18" s="149"/>
      <c r="H18" s="149"/>
      <c r="I18" s="149">
        <f t="shared" si="1"/>
        <v>15000</v>
      </c>
      <c r="J18" s="156">
        <f>I18/$I$23</f>
        <v>0.10638297872340426</v>
      </c>
      <c r="K18" s="7"/>
      <c r="L18" s="288"/>
    </row>
    <row r="19" spans="1:13">
      <c r="A19" s="137" t="s">
        <v>4</v>
      </c>
      <c r="B19" s="7"/>
      <c r="C19" s="114"/>
      <c r="D19" s="114"/>
      <c r="E19" s="114"/>
      <c r="F19" s="114"/>
      <c r="G19" s="114"/>
      <c r="H19" s="114"/>
      <c r="I19" s="114"/>
      <c r="J19" s="143"/>
      <c r="K19" s="7"/>
      <c r="L19" s="288"/>
    </row>
    <row r="20" spans="1:13">
      <c r="A20" s="8" t="s">
        <v>8</v>
      </c>
      <c r="B20" s="8"/>
      <c r="C20" s="150">
        <v>16000</v>
      </c>
      <c r="D20" s="150">
        <v>10000</v>
      </c>
      <c r="E20" s="150">
        <v>21000</v>
      </c>
      <c r="F20" s="150">
        <v>18000</v>
      </c>
      <c r="G20" s="150">
        <v>15000</v>
      </c>
      <c r="H20" s="150">
        <v>15000</v>
      </c>
      <c r="I20" s="150">
        <f t="shared" si="1"/>
        <v>95000</v>
      </c>
      <c r="J20" s="157">
        <f>I20/$I$23</f>
        <v>0.67375886524822692</v>
      </c>
      <c r="K20" s="7"/>
      <c r="L20" s="288"/>
    </row>
    <row r="21" spans="1:13">
      <c r="A21" s="7" t="s">
        <v>6</v>
      </c>
      <c r="B21" s="7"/>
      <c r="C21" s="114">
        <v>10000</v>
      </c>
      <c r="D21" s="114"/>
      <c r="E21" s="114"/>
      <c r="F21" s="114"/>
      <c r="G21" s="114"/>
      <c r="H21" s="114"/>
      <c r="I21" s="114">
        <f t="shared" si="1"/>
        <v>10000</v>
      </c>
      <c r="J21" s="143">
        <f>I21/$I$23</f>
        <v>7.0921985815602842E-2</v>
      </c>
      <c r="K21" s="7"/>
      <c r="L21" s="288"/>
    </row>
    <row r="22" spans="1:13">
      <c r="A22" s="137" t="s">
        <v>9</v>
      </c>
      <c r="B22" s="7"/>
      <c r="C22" s="114"/>
      <c r="D22" s="114"/>
      <c r="E22" s="114"/>
      <c r="F22" s="114"/>
      <c r="G22" s="114"/>
      <c r="H22" s="114"/>
      <c r="I22" s="114">
        <f t="shared" si="1"/>
        <v>0</v>
      </c>
      <c r="J22" s="143">
        <f>I22/$I$23</f>
        <v>0</v>
      </c>
      <c r="K22" s="7"/>
      <c r="L22" s="289"/>
    </row>
    <row r="23" spans="1:13">
      <c r="A23" s="169" t="s">
        <v>188</v>
      </c>
      <c r="B23" s="153"/>
      <c r="C23" s="170"/>
      <c r="D23" s="170"/>
      <c r="E23" s="170"/>
      <c r="F23" s="171"/>
      <c r="G23" s="170"/>
      <c r="H23" s="170"/>
      <c r="I23" s="172">
        <f>SUM(I16:I22)</f>
        <v>141000</v>
      </c>
      <c r="J23" s="166"/>
      <c r="K23" s="167"/>
      <c r="L23" s="168">
        <f>I23/C25</f>
        <v>0.18228829993535875</v>
      </c>
    </row>
    <row r="24" spans="1:13" ht="15.75" thickBot="1">
      <c r="A24" s="3"/>
      <c r="B24" s="3"/>
      <c r="C24" s="3"/>
      <c r="D24" s="3"/>
      <c r="E24" s="3"/>
      <c r="F24" s="2"/>
      <c r="G24" s="3"/>
      <c r="H24" s="3"/>
      <c r="I24" s="5"/>
      <c r="J24" s="4"/>
      <c r="K24" s="3"/>
      <c r="L24" s="158"/>
      <c r="M24" s="3"/>
    </row>
    <row r="25" spans="1:13" ht="15.75" thickBot="1">
      <c r="A25" s="159" t="s">
        <v>190</v>
      </c>
      <c r="B25" s="160"/>
      <c r="C25" s="161">
        <f>J10+J12+I23</f>
        <v>773500</v>
      </c>
      <c r="D25" s="162" t="s">
        <v>13</v>
      </c>
      <c r="E25" s="160"/>
      <c r="F25" s="163">
        <f>C25*0.3</f>
        <v>232050</v>
      </c>
      <c r="G25" s="160" t="s">
        <v>191</v>
      </c>
      <c r="H25" s="164"/>
      <c r="I25" s="164"/>
      <c r="J25" s="164"/>
      <c r="K25" s="164"/>
      <c r="L25" s="165"/>
      <c r="M25" s="3"/>
    </row>
    <row r="26" spans="1:13" ht="15" customHeight="1">
      <c r="A26" s="283"/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3"/>
    </row>
    <row r="27" spans="1:13">
      <c r="A27" s="283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3"/>
    </row>
    <row r="28" spans="1:13">
      <c r="A28" s="283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3"/>
    </row>
    <row r="29" spans="1:13">
      <c r="A29" s="283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3"/>
    </row>
    <row r="30" spans="1:13" ht="91.5" customHeight="1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3"/>
    </row>
    <row r="31" spans="1:13" ht="34.5" customHeight="1">
      <c r="A31" s="283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3"/>
    </row>
    <row r="32" spans="1:13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2"/>
      <c r="G33" s="2"/>
      <c r="H33" s="3"/>
      <c r="I33" s="3"/>
      <c r="J33" s="3"/>
      <c r="K33" s="3"/>
      <c r="L33" s="3"/>
      <c r="M33" s="3"/>
    </row>
    <row r="35" spans="1:13">
      <c r="E35" s="93"/>
      <c r="H35" s="93"/>
      <c r="I35" s="93"/>
      <c r="J35" s="93"/>
      <c r="K35" s="93"/>
      <c r="L35" s="93"/>
    </row>
    <row r="49" spans="1:7">
      <c r="A49" s="93"/>
      <c r="G49" s="94"/>
    </row>
    <row r="50" spans="1:7">
      <c r="G50" s="94"/>
    </row>
    <row r="51" spans="1:7">
      <c r="G51" s="94"/>
    </row>
    <row r="57" spans="1:7">
      <c r="F57" s="93"/>
    </row>
  </sheetData>
  <mergeCells count="7">
    <mergeCell ref="A1:K1"/>
    <mergeCell ref="L4:L9"/>
    <mergeCell ref="A26:L31"/>
    <mergeCell ref="K2:K3"/>
    <mergeCell ref="L2:L3"/>
    <mergeCell ref="L14:L22"/>
    <mergeCell ref="A2:B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opLeftCell="A7" workbookViewId="0">
      <selection activeCell="J27" sqref="J27"/>
    </sheetView>
  </sheetViews>
  <sheetFormatPr defaultRowHeight="15"/>
  <cols>
    <col min="2" max="2" width="43.5703125" bestFit="1" customWidth="1"/>
    <col min="3" max="3" width="12.140625" style="122" bestFit="1" customWidth="1"/>
    <col min="4" max="4" width="5.28515625" bestFit="1" customWidth="1"/>
    <col min="5" max="5" width="18" style="122" customWidth="1"/>
    <col min="6" max="6" width="13.28515625" bestFit="1" customWidth="1"/>
    <col min="7" max="7" width="14.7109375" style="122" bestFit="1" customWidth="1"/>
    <col min="8" max="8" width="20.28515625" style="122" bestFit="1" customWidth="1"/>
  </cols>
  <sheetData>
    <row r="1" spans="1:12">
      <c r="A1" s="292" t="s">
        <v>116</v>
      </c>
      <c r="B1" s="293"/>
      <c r="C1" s="293"/>
      <c r="D1" s="293"/>
      <c r="E1" s="293"/>
      <c r="F1" s="293"/>
      <c r="G1" s="293"/>
      <c r="H1" s="293"/>
      <c r="I1" s="293"/>
      <c r="J1" s="21"/>
    </row>
    <row r="2" spans="1:12">
      <c r="A2" s="294" t="s">
        <v>174</v>
      </c>
      <c r="B2" s="13" t="s">
        <v>40</v>
      </c>
      <c r="C2" s="24" t="s">
        <v>30</v>
      </c>
      <c r="D2" s="13" t="s">
        <v>31</v>
      </c>
      <c r="E2" s="13" t="s">
        <v>36</v>
      </c>
      <c r="F2" s="24" t="s">
        <v>37</v>
      </c>
      <c r="G2" s="24" t="s">
        <v>175</v>
      </c>
      <c r="H2" s="13"/>
      <c r="I2" s="26" t="s">
        <v>193</v>
      </c>
    </row>
    <row r="3" spans="1:12">
      <c r="A3" s="295"/>
      <c r="B3" s="13" t="s">
        <v>26</v>
      </c>
      <c r="C3" s="177" t="s">
        <v>166</v>
      </c>
      <c r="D3" s="13">
        <v>1</v>
      </c>
      <c r="E3" s="225">
        <v>0.43</v>
      </c>
      <c r="F3" s="24">
        <v>30000</v>
      </c>
      <c r="G3" s="24">
        <f>F3*E3+F3</f>
        <v>42900</v>
      </c>
      <c r="H3" s="13" t="s">
        <v>41</v>
      </c>
      <c r="I3" s="135">
        <v>50000</v>
      </c>
    </row>
    <row r="4" spans="1:12">
      <c r="A4" s="295"/>
      <c r="B4" s="13" t="s">
        <v>27</v>
      </c>
      <c r="C4" s="24" t="s">
        <v>166</v>
      </c>
      <c r="D4" s="13">
        <v>1</v>
      </c>
      <c r="E4" s="225">
        <v>0.43</v>
      </c>
      <c r="F4" s="24">
        <v>30000</v>
      </c>
      <c r="G4" s="24">
        <f t="shared" ref="G4:G5" si="0">F4*E4+F4</f>
        <v>42900</v>
      </c>
      <c r="H4" s="13" t="s">
        <v>41</v>
      </c>
      <c r="I4" s="135">
        <v>50000</v>
      </c>
    </row>
    <row r="5" spans="1:12">
      <c r="A5" s="295"/>
      <c r="B5" s="13" t="s">
        <v>171</v>
      </c>
      <c r="C5" s="24" t="s">
        <v>166</v>
      </c>
      <c r="D5" s="13">
        <v>1</v>
      </c>
      <c r="E5" s="225">
        <v>0.43</v>
      </c>
      <c r="F5" s="24">
        <v>30000</v>
      </c>
      <c r="G5" s="126">
        <f t="shared" si="0"/>
        <v>42900</v>
      </c>
      <c r="H5" s="13" t="s">
        <v>41</v>
      </c>
      <c r="I5" s="135">
        <v>50000</v>
      </c>
    </row>
    <row r="6" spans="1:12">
      <c r="A6" s="296"/>
      <c r="B6" s="13"/>
      <c r="C6" s="24"/>
      <c r="D6" s="13"/>
      <c r="E6" s="123"/>
      <c r="F6" s="24"/>
      <c r="G6" s="127"/>
      <c r="H6" s="176"/>
      <c r="I6" s="135"/>
    </row>
    <row r="7" spans="1:12">
      <c r="A7" s="297" t="s">
        <v>39</v>
      </c>
      <c r="B7" s="13" t="s">
        <v>28</v>
      </c>
      <c r="C7" s="121">
        <v>25000</v>
      </c>
      <c r="D7" s="35">
        <v>1</v>
      </c>
      <c r="E7" s="225">
        <v>0.43</v>
      </c>
      <c r="F7" s="121">
        <v>25000</v>
      </c>
      <c r="G7" s="121">
        <f>F7*E7+F7</f>
        <v>35750</v>
      </c>
      <c r="H7" s="13" t="s">
        <v>41</v>
      </c>
      <c r="I7" s="135">
        <v>40000</v>
      </c>
    </row>
    <row r="8" spans="1:12">
      <c r="A8" s="295"/>
      <c r="B8" s="35" t="s">
        <v>29</v>
      </c>
      <c r="C8" s="24" t="s">
        <v>166</v>
      </c>
      <c r="D8" s="35">
        <v>2</v>
      </c>
      <c r="E8" s="225">
        <v>0.43</v>
      </c>
      <c r="F8" s="121">
        <v>60000</v>
      </c>
      <c r="G8" s="24">
        <f t="shared" ref="G8" si="1">F8*E8+F8</f>
        <v>85800</v>
      </c>
      <c r="H8" s="13" t="s">
        <v>41</v>
      </c>
      <c r="I8" s="135">
        <v>80000</v>
      </c>
    </row>
    <row r="9" spans="1:12">
      <c r="A9" s="295"/>
      <c r="B9" s="35" t="s">
        <v>127</v>
      </c>
      <c r="C9" s="24" t="s">
        <v>166</v>
      </c>
      <c r="D9" s="86">
        <v>4</v>
      </c>
      <c r="E9" s="225">
        <v>0.43</v>
      </c>
      <c r="F9" s="24">
        <v>120000</v>
      </c>
      <c r="G9" s="26">
        <f>F9*E9+F9</f>
        <v>171600</v>
      </c>
      <c r="H9" s="13" t="s">
        <v>41</v>
      </c>
      <c r="I9" s="135">
        <v>60000</v>
      </c>
    </row>
    <row r="10" spans="1:12">
      <c r="A10" s="295"/>
      <c r="B10" s="13" t="s">
        <v>169</v>
      </c>
      <c r="C10" s="24" t="s">
        <v>166</v>
      </c>
      <c r="D10" s="86">
        <v>10</v>
      </c>
      <c r="E10" s="225">
        <v>0.43</v>
      </c>
      <c r="F10" s="24">
        <v>300000</v>
      </c>
      <c r="G10" s="24">
        <f>F10*E10+F10</f>
        <v>429000</v>
      </c>
      <c r="H10" s="13" t="s">
        <v>41</v>
      </c>
      <c r="I10" s="135">
        <v>50000</v>
      </c>
    </row>
    <row r="11" spans="1:12">
      <c r="A11" s="295"/>
      <c r="B11" s="119" t="s">
        <v>173</v>
      </c>
      <c r="C11" s="122" t="s">
        <v>214</v>
      </c>
      <c r="D11" s="86">
        <v>1</v>
      </c>
      <c r="E11" s="225">
        <v>0.43</v>
      </c>
      <c r="F11" s="24">
        <v>5000</v>
      </c>
      <c r="G11" s="24">
        <f>F11*E11+F11</f>
        <v>7150</v>
      </c>
      <c r="H11" s="13" t="s">
        <v>41</v>
      </c>
      <c r="I11" s="135">
        <v>6000</v>
      </c>
      <c r="L11" s="61"/>
    </row>
    <row r="12" spans="1:12">
      <c r="A12" s="296"/>
      <c r="B12" s="86"/>
      <c r="C12" s="24"/>
      <c r="D12" s="86"/>
      <c r="E12" s="123"/>
      <c r="F12" s="24"/>
      <c r="G12" s="24"/>
      <c r="H12" s="13"/>
      <c r="I12" s="135"/>
    </row>
    <row r="13" spans="1:12">
      <c r="A13" s="298" t="s">
        <v>120</v>
      </c>
      <c r="B13" s="35" t="s">
        <v>29</v>
      </c>
      <c r="C13" s="24" t="s">
        <v>166</v>
      </c>
      <c r="D13" s="13">
        <v>6</v>
      </c>
      <c r="E13" s="225">
        <v>0.43</v>
      </c>
      <c r="F13" s="24">
        <v>180000</v>
      </c>
      <c r="G13" s="24">
        <f t="shared" ref="G13:G15" si="2">F13*E13+F13</f>
        <v>257400</v>
      </c>
      <c r="H13" s="13" t="s">
        <v>41</v>
      </c>
      <c r="I13" s="135">
        <v>80000</v>
      </c>
    </row>
    <row r="14" spans="1:12">
      <c r="A14" s="299"/>
      <c r="B14" s="86" t="s">
        <v>127</v>
      </c>
      <c r="C14" s="24" t="s">
        <v>166</v>
      </c>
      <c r="D14" s="13">
        <v>8</v>
      </c>
      <c r="E14" s="225">
        <v>0.43</v>
      </c>
      <c r="F14" s="24">
        <v>240000</v>
      </c>
      <c r="G14" s="24">
        <f t="shared" si="2"/>
        <v>343200</v>
      </c>
      <c r="H14" s="13" t="s">
        <v>41</v>
      </c>
      <c r="I14" s="135">
        <v>60000</v>
      </c>
    </row>
    <row r="15" spans="1:12">
      <c r="A15" s="299"/>
      <c r="B15" s="86" t="s">
        <v>128</v>
      </c>
      <c r="C15" s="24" t="s">
        <v>166</v>
      </c>
      <c r="D15" s="13">
        <v>1</v>
      </c>
      <c r="E15" s="225">
        <v>0.43</v>
      </c>
      <c r="F15" s="24">
        <v>30000</v>
      </c>
      <c r="G15" s="24">
        <f t="shared" si="2"/>
        <v>42900</v>
      </c>
      <c r="H15" s="13" t="s">
        <v>41</v>
      </c>
      <c r="I15" s="135">
        <v>55000</v>
      </c>
    </row>
    <row r="16" spans="1:12">
      <c r="A16" s="299"/>
      <c r="B16" s="86" t="s">
        <v>129</v>
      </c>
      <c r="C16" s="24" t="s">
        <v>166</v>
      </c>
      <c r="D16" s="62">
        <v>1</v>
      </c>
      <c r="E16" s="225">
        <v>0.43</v>
      </c>
      <c r="F16" s="24">
        <v>30000</v>
      </c>
      <c r="G16" s="24">
        <f>F16*E16+F16</f>
        <v>42900</v>
      </c>
      <c r="H16" s="63" t="s">
        <v>41</v>
      </c>
      <c r="I16" s="135">
        <v>60000</v>
      </c>
    </row>
    <row r="17" spans="1:11">
      <c r="A17" s="299"/>
      <c r="B17" s="178" t="s">
        <v>130</v>
      </c>
      <c r="C17" s="24" t="s">
        <v>170</v>
      </c>
      <c r="D17" s="86">
        <v>1</v>
      </c>
      <c r="E17" s="225">
        <v>0.43</v>
      </c>
      <c r="F17" s="24">
        <v>30000</v>
      </c>
      <c r="G17" s="24">
        <f>F17*E17+F17</f>
        <v>42900</v>
      </c>
      <c r="H17" s="63" t="s">
        <v>41</v>
      </c>
      <c r="I17" s="135">
        <v>50000</v>
      </c>
      <c r="K17" s="21"/>
    </row>
    <row r="18" spans="1:11">
      <c r="A18" s="299"/>
      <c r="B18" s="13" t="s">
        <v>169</v>
      </c>
      <c r="C18" s="179">
        <v>30000</v>
      </c>
      <c r="D18" s="86">
        <v>14</v>
      </c>
      <c r="E18" s="225">
        <v>0.43</v>
      </c>
      <c r="F18" s="124">
        <v>420000</v>
      </c>
      <c r="G18" s="125">
        <f>F18*E18+F18</f>
        <v>600600</v>
      </c>
      <c r="H18" s="63" t="s">
        <v>41</v>
      </c>
      <c r="I18" s="180">
        <v>60000</v>
      </c>
      <c r="K18" s="21"/>
    </row>
    <row r="19" spans="1:11">
      <c r="A19" s="299"/>
      <c r="B19" s="86" t="s">
        <v>172</v>
      </c>
      <c r="C19" s="114">
        <v>30000</v>
      </c>
      <c r="D19" s="86">
        <v>3</v>
      </c>
      <c r="E19" s="225">
        <v>0.43</v>
      </c>
      <c r="F19" s="24">
        <f>C19*D19</f>
        <v>90000</v>
      </c>
      <c r="G19" s="24">
        <f t="shared" ref="G19" si="3">F19*E19+F19</f>
        <v>128700</v>
      </c>
      <c r="H19" s="63" t="s">
        <v>41</v>
      </c>
      <c r="I19" s="135">
        <v>80000</v>
      </c>
    </row>
    <row r="20" spans="1:11">
      <c r="A20" s="300"/>
      <c r="B20" s="86" t="s">
        <v>173</v>
      </c>
      <c r="C20" s="24">
        <v>5000</v>
      </c>
      <c r="D20" s="175">
        <v>2</v>
      </c>
      <c r="E20" s="225">
        <v>0.43</v>
      </c>
      <c r="F20" s="173">
        <v>10000</v>
      </c>
      <c r="G20" s="174">
        <v>14300</v>
      </c>
      <c r="H20" s="63" t="s">
        <v>41</v>
      </c>
      <c r="I20" s="135">
        <v>10000</v>
      </c>
    </row>
    <row r="22" spans="1:11">
      <c r="G22"/>
    </row>
    <row r="23" spans="1:11">
      <c r="F23" s="13" t="s">
        <v>194</v>
      </c>
      <c r="G23" s="24"/>
      <c r="H23" s="247" t="s">
        <v>213</v>
      </c>
    </row>
    <row r="24" spans="1:11">
      <c r="F24" s="13" t="s">
        <v>174</v>
      </c>
      <c r="G24" s="250" t="s">
        <v>215</v>
      </c>
      <c r="H24" s="251">
        <v>150000</v>
      </c>
      <c r="I24" s="246"/>
    </row>
    <row r="25" spans="1:11">
      <c r="F25" s="13" t="s">
        <v>39</v>
      </c>
      <c r="G25" s="250">
        <v>858000</v>
      </c>
      <c r="H25" s="252" t="s">
        <v>216</v>
      </c>
      <c r="I25" s="246"/>
    </row>
    <row r="26" spans="1:11">
      <c r="B26" s="21"/>
      <c r="F26" s="13" t="s">
        <v>120</v>
      </c>
      <c r="G26" s="250">
        <v>1601600</v>
      </c>
      <c r="H26" s="248">
        <v>2367000</v>
      </c>
      <c r="I26" s="249"/>
      <c r="J26" s="122"/>
      <c r="K26" s="22"/>
    </row>
    <row r="27" spans="1:11">
      <c r="G27" s="95"/>
    </row>
    <row r="31" spans="1:11">
      <c r="G31" s="181"/>
    </row>
  </sheetData>
  <mergeCells count="4">
    <mergeCell ref="A1:I1"/>
    <mergeCell ref="A2:A6"/>
    <mergeCell ref="A7:A12"/>
    <mergeCell ref="A13:A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topLeftCell="A22" zoomScale="85" zoomScaleNormal="85" workbookViewId="0">
      <selection activeCell="A20" sqref="A20"/>
    </sheetView>
  </sheetViews>
  <sheetFormatPr defaultRowHeight="15"/>
  <cols>
    <col min="1" max="1" width="71" style="96" bestFit="1" customWidth="1"/>
    <col min="2" max="2" width="17.28515625" style="96" bestFit="1" customWidth="1"/>
    <col min="3" max="7" width="18.28515625" style="96" bestFit="1" customWidth="1"/>
    <col min="8" max="13" width="19.42578125" style="96" bestFit="1" customWidth="1"/>
    <col min="14" max="14" width="19.7109375" style="96" bestFit="1" customWidth="1"/>
    <col min="15" max="17" width="19.42578125" style="96" bestFit="1" customWidth="1"/>
    <col min="18" max="20" width="19.5703125" style="96" bestFit="1" customWidth="1"/>
    <col min="21" max="16384" width="9.140625" style="96"/>
  </cols>
  <sheetData>
    <row r="1" spans="1:23" ht="16.5" thickBot="1">
      <c r="A1" s="226" t="s">
        <v>146</v>
      </c>
      <c r="B1" s="325" t="s">
        <v>38</v>
      </c>
      <c r="C1" s="325"/>
      <c r="D1" s="325"/>
      <c r="E1" s="325"/>
      <c r="F1" s="325"/>
      <c r="G1" s="325"/>
      <c r="H1" s="325"/>
      <c r="I1" s="325"/>
      <c r="J1" s="325"/>
      <c r="K1" s="326" t="s">
        <v>39</v>
      </c>
      <c r="L1" s="326"/>
      <c r="M1" s="326"/>
      <c r="N1" s="326"/>
      <c r="O1" s="326"/>
      <c r="P1" s="327"/>
      <c r="Q1" s="327"/>
      <c r="R1" s="326"/>
      <c r="S1" s="327"/>
      <c r="T1" s="326"/>
    </row>
    <row r="2" spans="1:23" ht="16.5" thickTop="1">
      <c r="A2" s="230" t="s">
        <v>33</v>
      </c>
      <c r="B2" s="228" t="s">
        <v>14</v>
      </c>
      <c r="C2" s="228" t="s">
        <v>15</v>
      </c>
      <c r="D2" s="228" t="s">
        <v>16</v>
      </c>
      <c r="E2" s="232" t="s">
        <v>142</v>
      </c>
      <c r="F2" s="228" t="s">
        <v>17</v>
      </c>
      <c r="G2" s="228" t="s">
        <v>18</v>
      </c>
      <c r="H2" s="228" t="s">
        <v>19</v>
      </c>
      <c r="I2" s="228" t="s">
        <v>20</v>
      </c>
      <c r="J2" s="228" t="s">
        <v>21</v>
      </c>
      <c r="K2" s="238" t="s">
        <v>22</v>
      </c>
      <c r="L2" s="239" t="s">
        <v>23</v>
      </c>
      <c r="M2" s="239" t="s">
        <v>24</v>
      </c>
      <c r="N2" s="263" t="s">
        <v>143</v>
      </c>
      <c r="O2" s="239" t="s">
        <v>144</v>
      </c>
      <c r="P2" s="265" t="s">
        <v>145</v>
      </c>
      <c r="Q2" s="210" t="s">
        <v>154</v>
      </c>
      <c r="R2" s="239" t="s">
        <v>155</v>
      </c>
      <c r="S2" s="211" t="s">
        <v>156</v>
      </c>
      <c r="T2" s="239" t="s">
        <v>157</v>
      </c>
    </row>
    <row r="3" spans="1:23" s="111" customFormat="1" ht="15.75" customHeight="1">
      <c r="A3" s="314" t="s">
        <v>147</v>
      </c>
      <c r="B3" s="316">
        <v>800000</v>
      </c>
      <c r="C3" s="316">
        <v>1300000</v>
      </c>
      <c r="D3" s="316">
        <v>2000000</v>
      </c>
      <c r="E3" s="318">
        <v>3000000</v>
      </c>
      <c r="F3" s="307">
        <v>4000000</v>
      </c>
      <c r="G3" s="313">
        <v>5000000</v>
      </c>
      <c r="H3" s="319">
        <v>5360000</v>
      </c>
      <c r="I3" s="319">
        <v>5360000</v>
      </c>
      <c r="J3" s="319">
        <v>5360000</v>
      </c>
      <c r="K3" s="313">
        <v>6000000</v>
      </c>
      <c r="L3" s="313">
        <v>7000000</v>
      </c>
      <c r="M3" s="313">
        <v>8000000</v>
      </c>
      <c r="N3" s="313">
        <v>11000000</v>
      </c>
      <c r="O3" s="307">
        <v>12000000</v>
      </c>
      <c r="P3" s="310">
        <v>14500000</v>
      </c>
      <c r="Q3" s="307">
        <v>15000000</v>
      </c>
      <c r="R3" s="307">
        <v>16085625</v>
      </c>
      <c r="S3" s="307">
        <v>16085625</v>
      </c>
      <c r="T3" s="307">
        <v>16085625</v>
      </c>
    </row>
    <row r="4" spans="1:23" s="111" customFormat="1">
      <c r="A4" s="315"/>
      <c r="B4" s="317"/>
      <c r="C4" s="317"/>
      <c r="D4" s="317"/>
      <c r="E4" s="317"/>
      <c r="F4" s="309"/>
      <c r="G4" s="309"/>
      <c r="H4" s="320"/>
      <c r="I4" s="320"/>
      <c r="J4" s="320"/>
      <c r="K4" s="309"/>
      <c r="L4" s="309"/>
      <c r="M4" s="309"/>
      <c r="N4" s="308"/>
      <c r="O4" s="308"/>
      <c r="P4" s="311"/>
      <c r="Q4" s="312"/>
      <c r="R4" s="308"/>
      <c r="S4" s="309"/>
      <c r="T4" s="308"/>
      <c r="U4" s="212"/>
    </row>
    <row r="5" spans="1:23" s="111" customFormat="1">
      <c r="A5" s="315"/>
      <c r="B5" s="317"/>
      <c r="C5" s="317"/>
      <c r="D5" s="317"/>
      <c r="E5" s="317"/>
      <c r="F5" s="309"/>
      <c r="G5" s="309"/>
      <c r="H5" s="320"/>
      <c r="I5" s="320"/>
      <c r="J5" s="320"/>
      <c r="K5" s="309"/>
      <c r="L5" s="309"/>
      <c r="M5" s="309"/>
      <c r="N5" s="308"/>
      <c r="O5" s="308"/>
      <c r="P5" s="311"/>
      <c r="Q5" s="312"/>
      <c r="R5" s="308"/>
      <c r="S5" s="309"/>
      <c r="T5" s="308"/>
    </row>
    <row r="6" spans="1:23" s="111" customFormat="1" ht="31.5">
      <c r="A6" s="231" t="s">
        <v>149</v>
      </c>
      <c r="B6" s="229">
        <f t="shared" ref="B6:T6" si="0">(B3-B8)/1.3</f>
        <v>521512.38591916562</v>
      </c>
      <c r="C6" s="229">
        <f t="shared" si="0"/>
        <v>847457.62711864407</v>
      </c>
      <c r="D6" s="229">
        <f t="shared" si="0"/>
        <v>1303780.964797914</v>
      </c>
      <c r="E6" s="233">
        <f t="shared" si="0"/>
        <v>1955671.447196871</v>
      </c>
      <c r="F6" s="229">
        <f t="shared" si="0"/>
        <v>2607561.9295958281</v>
      </c>
      <c r="G6" s="229">
        <f t="shared" si="0"/>
        <v>3259452.4119947851</v>
      </c>
      <c r="H6" s="229">
        <f t="shared" si="0"/>
        <v>3494132.9856584091</v>
      </c>
      <c r="I6" s="229">
        <f t="shared" si="0"/>
        <v>3494132.9856584091</v>
      </c>
      <c r="J6" s="229">
        <f t="shared" si="0"/>
        <v>3494132.9856584091</v>
      </c>
      <c r="K6" s="229">
        <f t="shared" si="0"/>
        <v>3911342.8943937421</v>
      </c>
      <c r="L6" s="229">
        <f t="shared" si="0"/>
        <v>4563233.3767926991</v>
      </c>
      <c r="M6" s="256">
        <f t="shared" si="0"/>
        <v>5215123.8591916561</v>
      </c>
      <c r="N6" s="229">
        <f t="shared" si="0"/>
        <v>7170795.3063885262</v>
      </c>
      <c r="O6" s="229">
        <f t="shared" si="0"/>
        <v>7822685.7887874842</v>
      </c>
      <c r="P6" s="266">
        <f t="shared" si="0"/>
        <v>9452411.9947848767</v>
      </c>
      <c r="Q6" s="229">
        <f t="shared" si="0"/>
        <v>9778357.2359843552</v>
      </c>
      <c r="R6" s="229">
        <f t="shared" si="0"/>
        <v>10486065.840938723</v>
      </c>
      <c r="S6" s="229">
        <f t="shared" si="0"/>
        <v>10486065.840938723</v>
      </c>
      <c r="T6" s="229">
        <f t="shared" si="0"/>
        <v>10486065.840938723</v>
      </c>
    </row>
    <row r="7" spans="1:23" s="111" customFormat="1" ht="15.75">
      <c r="A7" s="231" t="s">
        <v>150</v>
      </c>
      <c r="B7" s="229">
        <f>B6*0.3</f>
        <v>156453.71577574968</v>
      </c>
      <c r="C7" s="229">
        <f t="shared" ref="C7:G7" si="1">C6*0.3</f>
        <v>254237.2881355932</v>
      </c>
      <c r="D7" s="229">
        <f t="shared" si="1"/>
        <v>391134.28943937417</v>
      </c>
      <c r="E7" s="233">
        <f t="shared" si="1"/>
        <v>586701.43415906129</v>
      </c>
      <c r="F7" s="229">
        <f t="shared" si="1"/>
        <v>782268.57887874835</v>
      </c>
      <c r="G7" s="229">
        <f t="shared" si="1"/>
        <v>977835.72359843552</v>
      </c>
      <c r="H7" s="229">
        <f>H6*0.3</f>
        <v>1048239.8956975227</v>
      </c>
      <c r="I7" s="229">
        <f t="shared" ref="I7" si="2">I6*0.3</f>
        <v>1048239.8956975227</v>
      </c>
      <c r="J7" s="229">
        <f t="shared" ref="J7" si="3">J6*0.3</f>
        <v>1048239.8956975227</v>
      </c>
      <c r="K7" s="229">
        <f t="shared" ref="K7" si="4">K6*0.3</f>
        <v>1173402.8683181226</v>
      </c>
      <c r="L7" s="229">
        <f t="shared" ref="L7" si="5">L6*0.3</f>
        <v>1368970.0130378096</v>
      </c>
      <c r="M7" s="229">
        <f t="shared" ref="M7:R7" si="6">M6*0.3</f>
        <v>1564537.1577574967</v>
      </c>
      <c r="N7" s="229">
        <f t="shared" si="6"/>
        <v>2151238.5919165579</v>
      </c>
      <c r="O7" s="229">
        <f t="shared" si="6"/>
        <v>2346805.7366362452</v>
      </c>
      <c r="P7" s="266">
        <f t="shared" si="6"/>
        <v>2835723.5984354629</v>
      </c>
      <c r="Q7" s="229">
        <f t="shared" si="6"/>
        <v>2933507.1707953066</v>
      </c>
      <c r="R7" s="229">
        <f t="shared" si="6"/>
        <v>3145819.7522816169</v>
      </c>
      <c r="S7" s="229">
        <f t="shared" ref="S7:T7" si="7">S6*0.3</f>
        <v>3145819.7522816169</v>
      </c>
      <c r="T7" s="229">
        <f t="shared" si="7"/>
        <v>3145819.7522816169</v>
      </c>
    </row>
    <row r="8" spans="1:23" s="111" customFormat="1" ht="15.75">
      <c r="A8" s="231" t="s">
        <v>115</v>
      </c>
      <c r="B8" s="229">
        <f>B3-B3/1.18</f>
        <v>122033.89830508467</v>
      </c>
      <c r="C8" s="229">
        <f t="shared" ref="C8:G8" si="8">C3-C3/1.18</f>
        <v>198305.08474576264</v>
      </c>
      <c r="D8" s="229">
        <f t="shared" si="8"/>
        <v>305084.74576271186</v>
      </c>
      <c r="E8" s="233">
        <f t="shared" si="8"/>
        <v>457627.11864406755</v>
      </c>
      <c r="F8" s="229">
        <f t="shared" si="8"/>
        <v>610169.49152542371</v>
      </c>
      <c r="G8" s="229">
        <f t="shared" si="8"/>
        <v>762711.86440677941</v>
      </c>
      <c r="H8" s="229">
        <f>H3-H3/1.18</f>
        <v>817627.11864406802</v>
      </c>
      <c r="I8" s="229">
        <f t="shared" ref="I8:M8" si="9">I3-I3/1.18</f>
        <v>817627.11864406802</v>
      </c>
      <c r="J8" s="229">
        <f>J3-J3/1.18</f>
        <v>817627.11864406802</v>
      </c>
      <c r="K8" s="229">
        <f t="shared" si="9"/>
        <v>915254.2372881351</v>
      </c>
      <c r="L8" s="229">
        <f t="shared" si="9"/>
        <v>1067796.6101694908</v>
      </c>
      <c r="M8" s="229">
        <f t="shared" si="9"/>
        <v>1220338.9830508474</v>
      </c>
      <c r="N8" s="229">
        <f t="shared" ref="N8:R8" si="10">N3-N3/1.18</f>
        <v>1677966.1016949154</v>
      </c>
      <c r="O8" s="229">
        <f t="shared" si="10"/>
        <v>1830508.4745762702</v>
      </c>
      <c r="P8" s="266">
        <f t="shared" si="10"/>
        <v>2211864.4067796599</v>
      </c>
      <c r="Q8" s="229">
        <f t="shared" si="10"/>
        <v>2288135.5932203382</v>
      </c>
      <c r="R8" s="229">
        <f t="shared" si="10"/>
        <v>2453739.4067796599</v>
      </c>
      <c r="S8" s="229">
        <f>S3-S3/1.18</f>
        <v>2453739.4067796599</v>
      </c>
      <c r="T8" s="229">
        <f>T3-T3/1.18</f>
        <v>2453739.4067796599</v>
      </c>
    </row>
    <row r="9" spans="1:23" s="118" customFormat="1" ht="15.75">
      <c r="A9" s="259" t="s">
        <v>151</v>
      </c>
      <c r="B9" s="260">
        <f>B7</f>
        <v>156453.71577574968</v>
      </c>
      <c r="C9" s="260">
        <f t="shared" ref="C9:T9" si="11">C3-C4-C5-C6-C8</f>
        <v>254237.28813559329</v>
      </c>
      <c r="D9" s="260">
        <f t="shared" si="11"/>
        <v>391134.28943937412</v>
      </c>
      <c r="E9" s="258">
        <f t="shared" si="11"/>
        <v>586701.43415906141</v>
      </c>
      <c r="F9" s="257">
        <f t="shared" si="11"/>
        <v>782268.57887874823</v>
      </c>
      <c r="G9" s="257">
        <f t="shared" si="11"/>
        <v>977835.72359843552</v>
      </c>
      <c r="H9" s="257">
        <f t="shared" si="11"/>
        <v>1048239.8956975229</v>
      </c>
      <c r="I9" s="257">
        <f t="shared" si="11"/>
        <v>1048239.8956975229</v>
      </c>
      <c r="J9" s="257">
        <f t="shared" si="11"/>
        <v>1048239.8956975229</v>
      </c>
      <c r="K9" s="257">
        <f t="shared" si="11"/>
        <v>1173402.8683181228</v>
      </c>
      <c r="L9" s="257">
        <f t="shared" si="11"/>
        <v>1368970.0130378101</v>
      </c>
      <c r="M9" s="257">
        <f t="shared" si="11"/>
        <v>1564537.1577574965</v>
      </c>
      <c r="N9" s="257">
        <f t="shared" si="11"/>
        <v>2151238.5919165583</v>
      </c>
      <c r="O9" s="261">
        <f t="shared" si="11"/>
        <v>2346805.7366362456</v>
      </c>
      <c r="P9" s="267">
        <f t="shared" si="11"/>
        <v>2835723.5984354634</v>
      </c>
      <c r="Q9" s="257">
        <f t="shared" si="11"/>
        <v>2933507.1707953066</v>
      </c>
      <c r="R9" s="257">
        <f t="shared" si="11"/>
        <v>3145819.7522816174</v>
      </c>
      <c r="S9" s="261">
        <f t="shared" si="11"/>
        <v>3145819.7522816174</v>
      </c>
      <c r="T9" s="257">
        <f t="shared" si="11"/>
        <v>3145819.7522816174</v>
      </c>
      <c r="U9" s="262"/>
      <c r="V9" s="262"/>
      <c r="W9" s="262"/>
    </row>
    <row r="10" spans="1:23" ht="15.75">
      <c r="A10" s="230" t="s">
        <v>148</v>
      </c>
      <c r="B10" s="234">
        <f t="shared" ref="B10:T10" si="12">IF(B9&lt;=0,0,B9*0.2)</f>
        <v>31290.743155149936</v>
      </c>
      <c r="C10" s="234">
        <f t="shared" si="12"/>
        <v>50847.45762711866</v>
      </c>
      <c r="D10" s="234">
        <f t="shared" si="12"/>
        <v>78226.857887874823</v>
      </c>
      <c r="E10" s="235">
        <f t="shared" si="12"/>
        <v>117340.28683181229</v>
      </c>
      <c r="F10" s="234">
        <f t="shared" si="12"/>
        <v>156453.71577574965</v>
      </c>
      <c r="G10" s="234">
        <f t="shared" si="12"/>
        <v>195567.14471968712</v>
      </c>
      <c r="H10" s="234">
        <f t="shared" si="12"/>
        <v>209647.9791395046</v>
      </c>
      <c r="I10" s="234">
        <f t="shared" si="12"/>
        <v>209647.9791395046</v>
      </c>
      <c r="J10" s="234">
        <f t="shared" si="12"/>
        <v>209647.9791395046</v>
      </c>
      <c r="K10" s="234">
        <f t="shared" si="12"/>
        <v>234680.57366362459</v>
      </c>
      <c r="L10" s="234">
        <f t="shared" si="12"/>
        <v>273794.00260756206</v>
      </c>
      <c r="M10" s="234">
        <f t="shared" si="12"/>
        <v>312907.43155149929</v>
      </c>
      <c r="N10" s="234">
        <f t="shared" si="12"/>
        <v>430247.7183833117</v>
      </c>
      <c r="O10" s="240">
        <f t="shared" si="12"/>
        <v>469361.14732724917</v>
      </c>
      <c r="P10" s="268">
        <f t="shared" si="12"/>
        <v>567144.7196870927</v>
      </c>
      <c r="Q10" s="234">
        <f t="shared" si="12"/>
        <v>586701.43415906129</v>
      </c>
      <c r="R10" s="234">
        <f t="shared" si="12"/>
        <v>629163.95045632357</v>
      </c>
      <c r="S10" s="234">
        <f t="shared" si="12"/>
        <v>629163.95045632357</v>
      </c>
      <c r="T10" s="234">
        <f t="shared" si="12"/>
        <v>629163.95045632357</v>
      </c>
    </row>
    <row r="11" spans="1:23" ht="15.75">
      <c r="A11" s="328" t="s">
        <v>219</v>
      </c>
      <c r="B11" s="241">
        <f t="shared" ref="B11:T11" si="13">B9-0</f>
        <v>156453.71577574968</v>
      </c>
      <c r="C11" s="241">
        <f t="shared" si="13"/>
        <v>254237.28813559329</v>
      </c>
      <c r="D11" s="301">
        <f t="shared" si="13"/>
        <v>391134.28943937412</v>
      </c>
      <c r="E11" s="321">
        <f t="shared" si="13"/>
        <v>586701.43415906141</v>
      </c>
      <c r="F11" s="301">
        <f t="shared" si="13"/>
        <v>782268.57887874823</v>
      </c>
      <c r="G11" s="301">
        <f t="shared" si="13"/>
        <v>977835.72359843552</v>
      </c>
      <c r="H11" s="301">
        <f t="shared" si="13"/>
        <v>1048239.8956975229</v>
      </c>
      <c r="I11" s="301">
        <f t="shared" si="13"/>
        <v>1048239.8956975229</v>
      </c>
      <c r="J11" s="301">
        <f t="shared" si="13"/>
        <v>1048239.8956975229</v>
      </c>
      <c r="K11" s="301">
        <f t="shared" si="13"/>
        <v>1173402.8683181228</v>
      </c>
      <c r="L11" s="301">
        <f t="shared" si="13"/>
        <v>1368970.0130378101</v>
      </c>
      <c r="M11" s="301">
        <f t="shared" si="13"/>
        <v>1564537.1577574965</v>
      </c>
      <c r="N11" s="301">
        <f t="shared" si="13"/>
        <v>2151238.5919165583</v>
      </c>
      <c r="O11" s="301">
        <f t="shared" si="13"/>
        <v>2346805.7366362456</v>
      </c>
      <c r="P11" s="304">
        <f t="shared" si="13"/>
        <v>2835723.5984354634</v>
      </c>
      <c r="Q11" s="301">
        <f t="shared" si="13"/>
        <v>2933507.1707953066</v>
      </c>
      <c r="R11" s="301">
        <f t="shared" si="13"/>
        <v>3145819.7522816174</v>
      </c>
      <c r="S11" s="301">
        <f t="shared" si="13"/>
        <v>3145819.7522816174</v>
      </c>
      <c r="T11" s="301">
        <f t="shared" si="13"/>
        <v>3145819.7522816174</v>
      </c>
    </row>
    <row r="12" spans="1:23" ht="15" customHeight="1">
      <c r="A12" s="329"/>
      <c r="B12" s="331"/>
      <c r="C12" s="332"/>
      <c r="D12" s="302"/>
      <c r="E12" s="32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5"/>
      <c r="Q12" s="302"/>
      <c r="R12" s="302"/>
      <c r="S12" s="302"/>
      <c r="T12" s="302"/>
    </row>
    <row r="13" spans="1:23">
      <c r="A13" s="330"/>
      <c r="B13" s="333"/>
      <c r="C13" s="334"/>
      <c r="D13" s="303"/>
      <c r="E13" s="32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6"/>
      <c r="Q13" s="303"/>
      <c r="R13" s="303"/>
      <c r="S13" s="303"/>
      <c r="T13" s="303"/>
    </row>
    <row r="14" spans="1:23" ht="15.75">
      <c r="A14" s="230" t="s">
        <v>35</v>
      </c>
      <c r="B14" s="236">
        <f t="shared" ref="B14:T14" si="14">B11-B12-B13</f>
        <v>156453.71577574968</v>
      </c>
      <c r="C14" s="236">
        <f t="shared" si="14"/>
        <v>254237.28813559329</v>
      </c>
      <c r="D14" s="236">
        <f t="shared" si="14"/>
        <v>391134.28943937412</v>
      </c>
      <c r="E14" s="237">
        <f t="shared" si="14"/>
        <v>586701.43415906141</v>
      </c>
      <c r="F14" s="236">
        <f t="shared" si="14"/>
        <v>782268.57887874823</v>
      </c>
      <c r="G14" s="236">
        <f t="shared" si="14"/>
        <v>977835.72359843552</v>
      </c>
      <c r="H14" s="236">
        <f t="shared" si="14"/>
        <v>1048239.8956975229</v>
      </c>
      <c r="I14" s="236">
        <f t="shared" si="14"/>
        <v>1048239.8956975229</v>
      </c>
      <c r="J14" s="236">
        <f t="shared" si="14"/>
        <v>1048239.8956975229</v>
      </c>
      <c r="K14" s="236">
        <f t="shared" si="14"/>
        <v>1173402.8683181228</v>
      </c>
      <c r="L14" s="236">
        <f t="shared" si="14"/>
        <v>1368970.0130378101</v>
      </c>
      <c r="M14" s="236">
        <f t="shared" si="14"/>
        <v>1564537.1577574965</v>
      </c>
      <c r="N14" s="236">
        <f t="shared" si="14"/>
        <v>2151238.5919165583</v>
      </c>
      <c r="O14" s="236">
        <f t="shared" si="14"/>
        <v>2346805.7366362456</v>
      </c>
      <c r="P14" s="269">
        <f t="shared" si="14"/>
        <v>2835723.5984354634</v>
      </c>
      <c r="Q14" s="236">
        <f t="shared" si="14"/>
        <v>2933507.1707953066</v>
      </c>
      <c r="R14" s="236">
        <f t="shared" si="14"/>
        <v>3145819.7522816174</v>
      </c>
      <c r="S14" s="236">
        <f t="shared" si="14"/>
        <v>3145819.7522816174</v>
      </c>
      <c r="T14" s="236">
        <f t="shared" si="14"/>
        <v>3145819.7522816174</v>
      </c>
    </row>
    <row r="15" spans="1:23" ht="15.75">
      <c r="A15" s="228" t="s">
        <v>152</v>
      </c>
      <c r="B15" s="236">
        <f>B11-B12-B13</f>
        <v>156453.71577574968</v>
      </c>
      <c r="C15" s="236">
        <f t="shared" ref="C15:T15" si="15">C11-C12-C13+B15</f>
        <v>410691.00391134294</v>
      </c>
      <c r="D15" s="236">
        <f t="shared" si="15"/>
        <v>801825.29335071705</v>
      </c>
      <c r="E15" s="237">
        <f t="shared" si="15"/>
        <v>1388526.7275097785</v>
      </c>
      <c r="F15" s="236">
        <f t="shared" si="15"/>
        <v>2170795.3063885267</v>
      </c>
      <c r="G15" s="236">
        <f t="shared" si="15"/>
        <v>3148631.0299869622</v>
      </c>
      <c r="H15" s="236">
        <f t="shared" si="15"/>
        <v>4196870.9256844856</v>
      </c>
      <c r="I15" s="236">
        <f t="shared" si="15"/>
        <v>5245110.8213820085</v>
      </c>
      <c r="J15" s="236">
        <f t="shared" si="15"/>
        <v>6293350.7170795314</v>
      </c>
      <c r="K15" s="236">
        <f t="shared" si="15"/>
        <v>7466753.5853976542</v>
      </c>
      <c r="L15" s="236">
        <f t="shared" si="15"/>
        <v>8835723.5984354652</v>
      </c>
      <c r="M15" s="236">
        <f t="shared" si="15"/>
        <v>10400260.756192962</v>
      </c>
      <c r="N15" s="236">
        <f t="shared" si="15"/>
        <v>12551499.348109521</v>
      </c>
      <c r="O15" s="236">
        <f t="shared" si="15"/>
        <v>14898305.084745767</v>
      </c>
      <c r="P15" s="269">
        <f t="shared" si="15"/>
        <v>17734028.68318123</v>
      </c>
      <c r="Q15" s="236">
        <f t="shared" si="15"/>
        <v>20667535.853976537</v>
      </c>
      <c r="R15" s="236">
        <f t="shared" si="15"/>
        <v>23813355.606258154</v>
      </c>
      <c r="S15" s="236">
        <f t="shared" si="15"/>
        <v>26959175.358539771</v>
      </c>
      <c r="T15" s="236">
        <f t="shared" si="15"/>
        <v>30104995.110821389</v>
      </c>
    </row>
    <row r="16" spans="1:23" ht="15.75">
      <c r="A16" s="199"/>
      <c r="B16" s="200"/>
      <c r="C16" s="200"/>
      <c r="D16" s="200"/>
      <c r="E16" s="243"/>
      <c r="F16" s="244" t="s">
        <v>208</v>
      </c>
      <c r="G16" s="245"/>
      <c r="H16" s="243"/>
      <c r="I16" s="243"/>
      <c r="J16" s="243"/>
      <c r="K16" s="243"/>
      <c r="L16" s="243"/>
      <c r="M16" s="243"/>
      <c r="N16" s="243"/>
      <c r="O16" s="243"/>
      <c r="P16" s="227" t="s">
        <v>209</v>
      </c>
      <c r="Q16" s="242"/>
      <c r="R16" s="242"/>
      <c r="S16" s="242"/>
      <c r="T16" s="242"/>
    </row>
    <row r="17" spans="1:21">
      <c r="B17" s="242"/>
      <c r="C17" s="242"/>
      <c r="D17" s="242"/>
      <c r="E17" s="198"/>
      <c r="F17" s="242"/>
      <c r="G17" s="242"/>
      <c r="H17" s="242"/>
      <c r="I17" s="242"/>
      <c r="J17" s="242"/>
      <c r="P17" s="264"/>
      <c r="Q17" s="242"/>
      <c r="R17" s="242"/>
      <c r="S17" s="242"/>
      <c r="T17" s="242"/>
    </row>
    <row r="18" spans="1:21" ht="65.25" customHeight="1">
      <c r="A18" s="324" t="s">
        <v>153</v>
      </c>
      <c r="B18" s="324"/>
      <c r="C18" s="324"/>
      <c r="D18" s="324"/>
      <c r="E18" s="324"/>
      <c r="F18" s="324"/>
      <c r="G18" s="324"/>
      <c r="H18" s="324"/>
      <c r="P18" s="264"/>
      <c r="U18" s="198"/>
    </row>
    <row r="19" spans="1:21" ht="21">
      <c r="A19" s="116"/>
      <c r="B19" s="36"/>
      <c r="C19" s="36"/>
      <c r="D19" s="36"/>
      <c r="E19" s="36"/>
    </row>
    <row r="20" spans="1:21" ht="23.25">
      <c r="A20" s="117"/>
      <c r="B20" s="36"/>
      <c r="C20" s="36"/>
      <c r="D20" s="36"/>
      <c r="E20" s="36"/>
    </row>
    <row r="21" spans="1:21">
      <c r="A21" s="36"/>
      <c r="B21" s="36"/>
      <c r="C21" s="36"/>
      <c r="D21" s="36"/>
      <c r="E21" s="36"/>
    </row>
    <row r="22" spans="1:21">
      <c r="A22" s="22"/>
      <c r="B22" s="115"/>
      <c r="C22" s="22"/>
      <c r="D22" s="22"/>
      <c r="E22" s="36"/>
    </row>
    <row r="23" spans="1:21">
      <c r="A23" s="25"/>
      <c r="B23" s="22"/>
      <c r="C23" s="22"/>
      <c r="D23" s="22"/>
      <c r="E23" s="36"/>
    </row>
    <row r="24" spans="1:21">
      <c r="A24" s="22"/>
      <c r="B24" s="22"/>
      <c r="C24" s="22"/>
      <c r="D24" s="22"/>
      <c r="E24" s="36"/>
    </row>
    <row r="25" spans="1:21">
      <c r="A25" s="22"/>
      <c r="B25" s="22"/>
      <c r="C25" s="22"/>
      <c r="D25" s="22"/>
      <c r="E25" s="36"/>
    </row>
    <row r="26" spans="1:21">
      <c r="A26" s="36"/>
      <c r="B26" s="36"/>
      <c r="C26" s="36"/>
      <c r="D26" s="36"/>
      <c r="E26" s="36"/>
    </row>
    <row r="27" spans="1:21">
      <c r="A27" s="36"/>
      <c r="B27" s="36"/>
      <c r="C27" s="36"/>
      <c r="D27" s="36"/>
      <c r="E27" s="36"/>
    </row>
    <row r="28" spans="1:21">
      <c r="A28" s="36"/>
      <c r="B28" s="36"/>
      <c r="C28" s="36"/>
      <c r="D28" s="36"/>
      <c r="E28" s="36"/>
    </row>
    <row r="29" spans="1:21">
      <c r="A29" s="36"/>
      <c r="B29" s="36"/>
      <c r="C29" s="36"/>
      <c r="D29" s="36"/>
      <c r="E29" s="36"/>
    </row>
    <row r="30" spans="1:21">
      <c r="A30" s="36"/>
      <c r="B30" s="36"/>
      <c r="C30" s="36"/>
      <c r="D30" s="36"/>
      <c r="E30" s="36"/>
    </row>
    <row r="31" spans="1:21">
      <c r="A31" s="36"/>
      <c r="B31" s="36"/>
      <c r="C31" s="36"/>
      <c r="D31" s="36"/>
      <c r="E31" s="36"/>
    </row>
    <row r="32" spans="1:21">
      <c r="A32" s="36"/>
      <c r="B32" s="36"/>
      <c r="C32" s="36"/>
      <c r="D32" s="36"/>
      <c r="E32" s="36"/>
    </row>
    <row r="33" spans="1:5">
      <c r="A33" s="36"/>
      <c r="B33" s="36"/>
      <c r="C33" s="36"/>
      <c r="D33" s="36"/>
      <c r="E33" s="36"/>
    </row>
    <row r="34" spans="1:5">
      <c r="A34" s="36"/>
      <c r="B34" s="36"/>
      <c r="C34" s="36"/>
      <c r="D34" s="36"/>
      <c r="E34" s="36"/>
    </row>
  </sheetData>
  <mergeCells count="42">
    <mergeCell ref="I11:I13"/>
    <mergeCell ref="J11:J13"/>
    <mergeCell ref="S11:S13"/>
    <mergeCell ref="D11:D13"/>
    <mergeCell ref="E11:E13"/>
    <mergeCell ref="L3:L5"/>
    <mergeCell ref="A18:H18"/>
    <mergeCell ref="B1:J1"/>
    <mergeCell ref="K1:T1"/>
    <mergeCell ref="A11:A13"/>
    <mergeCell ref="B12:C13"/>
    <mergeCell ref="K11:K13"/>
    <mergeCell ref="L11:L13"/>
    <mergeCell ref="M11:M13"/>
    <mergeCell ref="N11:N13"/>
    <mergeCell ref="O11:O13"/>
    <mergeCell ref="F11:F13"/>
    <mergeCell ref="G11:G13"/>
    <mergeCell ref="H11:H13"/>
    <mergeCell ref="M3:M5"/>
    <mergeCell ref="N3:N5"/>
    <mergeCell ref="O3:O5"/>
    <mergeCell ref="T11:T1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Q11:Q13"/>
    <mergeCell ref="R11:R13"/>
    <mergeCell ref="P11:P13"/>
    <mergeCell ref="T3:T5"/>
    <mergeCell ref="S3:S5"/>
    <mergeCell ref="P3:P5"/>
    <mergeCell ref="Q3:Q5"/>
    <mergeCell ref="R3:R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topLeftCell="A31" zoomScale="85" zoomScaleNormal="85" workbookViewId="0">
      <selection activeCell="B56" sqref="B56"/>
    </sheetView>
  </sheetViews>
  <sheetFormatPr defaultRowHeight="15"/>
  <cols>
    <col min="1" max="1" width="66.140625" bestFit="1" customWidth="1"/>
    <col min="2" max="2" width="27.140625" bestFit="1" customWidth="1"/>
    <col min="3" max="3" width="27.7109375" bestFit="1" customWidth="1"/>
    <col min="4" max="4" width="25.5703125" bestFit="1" customWidth="1"/>
    <col min="5" max="5" width="16" bestFit="1" customWidth="1"/>
    <col min="6" max="6" width="15" bestFit="1" customWidth="1"/>
    <col min="7" max="7" width="17" bestFit="1" customWidth="1"/>
    <col min="8" max="8" width="22.5703125" bestFit="1" customWidth="1"/>
    <col min="9" max="9" width="15.7109375" bestFit="1" customWidth="1"/>
    <col min="10" max="10" width="16.140625" bestFit="1" customWidth="1"/>
    <col min="11" max="11" width="16" bestFit="1" customWidth="1"/>
    <col min="12" max="12" width="16.140625" bestFit="1" customWidth="1"/>
    <col min="13" max="13" width="15.7109375" bestFit="1" customWidth="1"/>
    <col min="14" max="14" width="15" bestFit="1" customWidth="1"/>
  </cols>
  <sheetData>
    <row r="1" spans="1:13" ht="18.75">
      <c r="A1" s="335" t="s">
        <v>73</v>
      </c>
      <c r="B1" s="335"/>
      <c r="C1" s="335"/>
      <c r="D1" s="335"/>
    </row>
    <row r="2" spans="1:13" ht="18.75">
      <c r="A2" s="13"/>
      <c r="B2" s="64" t="s">
        <v>42</v>
      </c>
      <c r="C2" s="55" t="s">
        <v>43</v>
      </c>
      <c r="D2" s="64" t="s">
        <v>211</v>
      </c>
      <c r="E2" s="223"/>
      <c r="F2" s="336"/>
      <c r="G2" s="336"/>
      <c r="H2" s="336"/>
      <c r="I2" s="336"/>
      <c r="J2" s="336"/>
      <c r="K2" s="336"/>
      <c r="L2" s="336"/>
      <c r="M2" s="336"/>
    </row>
    <row r="3" spans="1:13">
      <c r="A3" s="15" t="s">
        <v>53</v>
      </c>
      <c r="B3" s="135">
        <v>40000</v>
      </c>
      <c r="C3" s="135">
        <v>40000</v>
      </c>
      <c r="D3" s="135">
        <v>40000</v>
      </c>
    </row>
    <row r="4" spans="1:13">
      <c r="A4" s="13" t="s">
        <v>55</v>
      </c>
      <c r="B4" s="135" t="s">
        <v>34</v>
      </c>
      <c r="C4" s="136">
        <v>60000</v>
      </c>
      <c r="D4" s="136">
        <v>60000</v>
      </c>
    </row>
    <row r="5" spans="1:13">
      <c r="A5" s="13" t="s">
        <v>56</v>
      </c>
      <c r="B5" s="135" t="s">
        <v>34</v>
      </c>
      <c r="C5" s="136">
        <v>60000</v>
      </c>
      <c r="D5" s="136">
        <v>60000</v>
      </c>
    </row>
    <row r="6" spans="1:13">
      <c r="A6" s="13" t="s">
        <v>57</v>
      </c>
      <c r="B6" s="135" t="s">
        <v>34</v>
      </c>
      <c r="C6" s="136">
        <v>60000</v>
      </c>
      <c r="D6" s="136">
        <v>60000</v>
      </c>
    </row>
    <row r="7" spans="1:13">
      <c r="A7" s="13" t="s">
        <v>69</v>
      </c>
      <c r="B7" s="135" t="s">
        <v>34</v>
      </c>
      <c r="C7" s="136" t="s">
        <v>34</v>
      </c>
      <c r="D7" s="135">
        <v>100000</v>
      </c>
      <c r="E7" s="120"/>
      <c r="F7" s="21"/>
    </row>
    <row r="8" spans="1:13">
      <c r="A8" s="13" t="s">
        <v>70</v>
      </c>
      <c r="B8" s="135" t="s">
        <v>34</v>
      </c>
      <c r="C8" s="136" t="s">
        <v>34</v>
      </c>
      <c r="D8" s="135">
        <v>100000</v>
      </c>
      <c r="E8" s="120"/>
      <c r="F8" s="21"/>
    </row>
    <row r="9" spans="1:13">
      <c r="A9" s="15" t="s">
        <v>54</v>
      </c>
      <c r="B9" s="135">
        <v>30000</v>
      </c>
      <c r="C9" s="135">
        <v>30000</v>
      </c>
      <c r="D9" s="135">
        <v>30000</v>
      </c>
    </row>
    <row r="10" spans="1:13">
      <c r="A10" s="13" t="s">
        <v>66</v>
      </c>
      <c r="B10" s="135" t="s">
        <v>34</v>
      </c>
      <c r="C10" s="136">
        <v>50000</v>
      </c>
      <c r="D10" s="136">
        <v>50000</v>
      </c>
    </row>
    <row r="11" spans="1:13">
      <c r="A11" s="13" t="s">
        <v>58</v>
      </c>
      <c r="B11" s="135" t="s">
        <v>34</v>
      </c>
      <c r="C11" s="136">
        <v>50000</v>
      </c>
      <c r="D11" s="136">
        <v>50000</v>
      </c>
    </row>
    <row r="12" spans="1:13">
      <c r="A12" s="13" t="s">
        <v>59</v>
      </c>
      <c r="B12" s="135" t="s">
        <v>34</v>
      </c>
      <c r="C12" s="136">
        <v>50000</v>
      </c>
      <c r="D12" s="136">
        <v>50000</v>
      </c>
    </row>
    <row r="13" spans="1:13">
      <c r="A13" s="13" t="s">
        <v>71</v>
      </c>
      <c r="B13" s="135" t="s">
        <v>34</v>
      </c>
      <c r="C13" s="136" t="s">
        <v>34</v>
      </c>
      <c r="D13" s="135">
        <v>80000</v>
      </c>
      <c r="E13" s="120"/>
      <c r="F13" s="21"/>
    </row>
    <row r="14" spans="1:13">
      <c r="A14" s="13" t="s">
        <v>72</v>
      </c>
      <c r="B14" s="135" t="s">
        <v>34</v>
      </c>
      <c r="C14" s="136" t="s">
        <v>34</v>
      </c>
      <c r="D14" s="135">
        <v>80000</v>
      </c>
      <c r="E14" s="120"/>
    </row>
    <row r="15" spans="1:13" ht="18.75">
      <c r="A15" s="13" t="s">
        <v>217</v>
      </c>
      <c r="B15" s="135">
        <v>150000</v>
      </c>
      <c r="C15" s="135">
        <v>150000</v>
      </c>
      <c r="D15" s="135">
        <v>200000</v>
      </c>
      <c r="E15" s="120"/>
      <c r="F15" s="79"/>
    </row>
    <row r="16" spans="1:13">
      <c r="A16" s="65" t="s">
        <v>50</v>
      </c>
      <c r="B16" s="135">
        <v>0</v>
      </c>
      <c r="C16" s="136">
        <v>30000</v>
      </c>
      <c r="D16" s="135">
        <v>30000</v>
      </c>
      <c r="E16" s="120"/>
      <c r="H16" s="60"/>
    </row>
    <row r="17" spans="1:9">
      <c r="A17" s="65" t="s">
        <v>51</v>
      </c>
      <c r="B17" s="135">
        <v>1500</v>
      </c>
      <c r="C17" s="135">
        <v>1500</v>
      </c>
      <c r="D17" s="135">
        <v>1500</v>
      </c>
      <c r="E17" s="120"/>
      <c r="I17" s="60"/>
    </row>
    <row r="18" spans="1:9" ht="18.75">
      <c r="A18" s="65" t="s">
        <v>52</v>
      </c>
      <c r="B18" s="135">
        <v>2000</v>
      </c>
      <c r="C18" s="135">
        <v>2000</v>
      </c>
      <c r="D18" s="135">
        <v>2000</v>
      </c>
      <c r="E18" s="120"/>
      <c r="F18" s="222"/>
      <c r="G18" s="90"/>
    </row>
    <row r="19" spans="1:9">
      <c r="A19" s="65" t="s">
        <v>118</v>
      </c>
      <c r="B19" s="135">
        <v>3000</v>
      </c>
      <c r="C19" s="135">
        <v>3000</v>
      </c>
      <c r="D19" s="135">
        <v>3000</v>
      </c>
      <c r="E19" s="120"/>
    </row>
    <row r="20" spans="1:9" ht="15.75" thickBot="1">
      <c r="A20" s="65" t="s">
        <v>74</v>
      </c>
      <c r="B20" s="193"/>
      <c r="C20" s="193"/>
      <c r="D20" s="193">
        <v>25000</v>
      </c>
    </row>
    <row r="21" spans="1:9" ht="19.5" thickBot="1">
      <c r="A21" s="195" t="s">
        <v>122</v>
      </c>
      <c r="B21" s="72">
        <f>SUM(B3:B20)</f>
        <v>226500</v>
      </c>
      <c r="C21" s="73">
        <f t="shared" ref="C21:D21" si="0">SUM(C3:C19)</f>
        <v>586500</v>
      </c>
      <c r="D21" s="74">
        <f t="shared" si="0"/>
        <v>996500</v>
      </c>
    </row>
    <row r="22" spans="1:9" ht="18.75">
      <c r="A22" s="196"/>
      <c r="B22" s="197"/>
      <c r="C22" s="197"/>
      <c r="D22" s="197"/>
    </row>
    <row r="23" spans="1:9" ht="18.75">
      <c r="A23" s="196"/>
      <c r="B23" s="197"/>
      <c r="C23" s="197"/>
      <c r="D23" s="197"/>
    </row>
    <row r="25" spans="1:9" ht="18.75">
      <c r="A25" s="82" t="s">
        <v>121</v>
      </c>
      <c r="B25" s="64" t="s">
        <v>42</v>
      </c>
      <c r="C25" s="55" t="s">
        <v>43</v>
      </c>
      <c r="D25" s="64" t="s">
        <v>211</v>
      </c>
    </row>
    <row r="26" spans="1:9">
      <c r="A26" s="13" t="s">
        <v>117</v>
      </c>
      <c r="B26" s="135" t="s">
        <v>34</v>
      </c>
      <c r="C26" s="135">
        <v>5000</v>
      </c>
      <c r="D26" s="135">
        <v>20000</v>
      </c>
    </row>
    <row r="27" spans="1:9">
      <c r="A27" s="13" t="s">
        <v>134</v>
      </c>
      <c r="B27" s="135">
        <v>40000</v>
      </c>
      <c r="C27" s="135">
        <v>50000</v>
      </c>
      <c r="D27" s="135">
        <v>50000</v>
      </c>
    </row>
    <row r="28" spans="1:9">
      <c r="A28" s="13" t="s">
        <v>135</v>
      </c>
      <c r="B28" s="135"/>
      <c r="C28" s="135"/>
      <c r="D28" s="135">
        <v>50000</v>
      </c>
    </row>
    <row r="29" spans="1:9">
      <c r="A29" s="13" t="s">
        <v>136</v>
      </c>
      <c r="B29" s="135">
        <v>5000</v>
      </c>
      <c r="C29" s="135">
        <v>7000</v>
      </c>
      <c r="D29" s="135">
        <v>25000</v>
      </c>
    </row>
    <row r="30" spans="1:9">
      <c r="A30" s="13" t="s">
        <v>177</v>
      </c>
      <c r="B30" s="135">
        <v>25000</v>
      </c>
      <c r="C30" s="135">
        <v>25000</v>
      </c>
      <c r="D30" s="135"/>
    </row>
    <row r="31" spans="1:9" ht="15.75" thickBot="1">
      <c r="A31" s="13" t="s">
        <v>176</v>
      </c>
      <c r="B31" s="194" t="s">
        <v>34</v>
      </c>
      <c r="C31" s="194">
        <f>2000*8</f>
        <v>16000</v>
      </c>
      <c r="D31" s="194">
        <v>100000</v>
      </c>
    </row>
    <row r="32" spans="1:9" ht="19.5" thickBot="1">
      <c r="A32" s="84" t="s">
        <v>123</v>
      </c>
      <c r="B32" s="75">
        <f>SUM(B26:B31)</f>
        <v>70000</v>
      </c>
      <c r="C32" s="76">
        <f>SUM(C26:C31)</f>
        <v>103000</v>
      </c>
      <c r="D32" s="77">
        <f>SUM(D26:D31)</f>
        <v>245000</v>
      </c>
    </row>
    <row r="33" spans="1:13" ht="18.75">
      <c r="A33" s="196"/>
      <c r="B33" s="197"/>
      <c r="C33" s="197"/>
      <c r="D33" s="197"/>
    </row>
    <row r="34" spans="1:13" ht="18.75">
      <c r="A34" s="196"/>
      <c r="B34" s="197"/>
      <c r="C34" s="197"/>
      <c r="D34" s="197"/>
    </row>
    <row r="35" spans="1:13" ht="15.75" thickBot="1">
      <c r="A35" s="21"/>
      <c r="B35" s="21"/>
      <c r="C35" s="21"/>
      <c r="D35" s="21"/>
      <c r="H35" s="110"/>
      <c r="I35" s="60"/>
      <c r="K35" s="60"/>
      <c r="M35" s="60"/>
    </row>
    <row r="36" spans="1:13" ht="18.75">
      <c r="A36" s="340" t="s">
        <v>25</v>
      </c>
      <c r="B36" s="341"/>
      <c r="C36" s="341"/>
      <c r="D36" s="342"/>
    </row>
    <row r="37" spans="1:13" ht="15.75" thickBot="1">
      <c r="A37" s="80" t="s">
        <v>60</v>
      </c>
      <c r="B37" s="70" t="s">
        <v>42</v>
      </c>
      <c r="C37" s="71" t="s">
        <v>43</v>
      </c>
      <c r="D37" s="81" t="s">
        <v>211</v>
      </c>
    </row>
    <row r="38" spans="1:13" ht="15.75" thickBot="1">
      <c r="A38" s="129" t="s">
        <v>119</v>
      </c>
      <c r="B38" s="75">
        <v>150000</v>
      </c>
      <c r="C38" s="130">
        <v>1096000</v>
      </c>
      <c r="D38" s="77">
        <v>2367000</v>
      </c>
    </row>
    <row r="39" spans="1:13" ht="15.75" thickBot="1">
      <c r="A39" s="21"/>
      <c r="G39" s="128"/>
    </row>
    <row r="40" spans="1:13">
      <c r="A40" s="66" t="s">
        <v>125</v>
      </c>
      <c r="B40" s="67" t="s">
        <v>42</v>
      </c>
      <c r="C40" s="68" t="s">
        <v>43</v>
      </c>
      <c r="D40" s="69" t="s">
        <v>44</v>
      </c>
    </row>
    <row r="41" spans="1:13" ht="19.5" thickBot="1">
      <c r="A41" s="270" t="s">
        <v>124</v>
      </c>
      <c r="B41" s="271">
        <f>B38+B32+B21</f>
        <v>446500</v>
      </c>
      <c r="C41" s="271">
        <f>C38+C32+C21</f>
        <v>1785500</v>
      </c>
      <c r="D41" s="272">
        <f>D38+D32+D21</f>
        <v>3608500</v>
      </c>
    </row>
    <row r="42" spans="1:13" ht="18.75">
      <c r="A42" s="273"/>
      <c r="B42" s="274"/>
      <c r="C42" s="274"/>
      <c r="D42" s="274"/>
    </row>
    <row r="43" spans="1:13" ht="18.75">
      <c r="A43" s="273"/>
      <c r="B43" s="274"/>
      <c r="C43" s="274"/>
      <c r="D43" s="274"/>
    </row>
    <row r="44" spans="1:13" ht="15.75" thickBot="1">
      <c r="A44" s="78"/>
    </row>
    <row r="45" spans="1:13" ht="18.75">
      <c r="A45" s="343" t="s">
        <v>199</v>
      </c>
      <c r="B45" s="344"/>
      <c r="C45" s="344"/>
      <c r="D45" s="345"/>
    </row>
    <row r="46" spans="1:13" ht="15.75">
      <c r="A46" s="98" t="s">
        <v>137</v>
      </c>
      <c r="B46" s="99" t="s">
        <v>42</v>
      </c>
      <c r="C46" s="100" t="s">
        <v>43</v>
      </c>
      <c r="D46" s="99" t="s">
        <v>44</v>
      </c>
      <c r="G46" s="21"/>
    </row>
    <row r="47" spans="1:13" ht="15.75">
      <c r="A47" s="11" t="s">
        <v>138</v>
      </c>
      <c r="B47" s="133" t="s">
        <v>210</v>
      </c>
      <c r="C47" s="133" t="s">
        <v>161</v>
      </c>
      <c r="D47" s="133" t="s">
        <v>162</v>
      </c>
    </row>
    <row r="48" spans="1:13" ht="15.75">
      <c r="A48" s="11" t="s">
        <v>139</v>
      </c>
      <c r="B48" s="279">
        <v>40000</v>
      </c>
      <c r="C48" s="132" t="s">
        <v>160</v>
      </c>
      <c r="D48" s="132">
        <v>200000</v>
      </c>
      <c r="E48" s="278"/>
    </row>
    <row r="49" spans="1:8" ht="15.75">
      <c r="A49" s="11" t="s">
        <v>131</v>
      </c>
      <c r="B49" s="279" t="s">
        <v>163</v>
      </c>
      <c r="C49" s="106">
        <v>200000</v>
      </c>
      <c r="D49" s="107"/>
    </row>
    <row r="50" spans="1:8" ht="15.75">
      <c r="A50" s="11" t="s">
        <v>132</v>
      </c>
      <c r="B50" s="279" t="s">
        <v>218</v>
      </c>
      <c r="C50" s="107"/>
      <c r="D50" s="106">
        <v>200000</v>
      </c>
    </row>
    <row r="51" spans="1:8" ht="15.75">
      <c r="A51" s="11" t="s">
        <v>133</v>
      </c>
      <c r="B51" s="131"/>
      <c r="C51" s="107">
        <v>20000</v>
      </c>
      <c r="D51" s="106"/>
    </row>
    <row r="52" spans="1:8" ht="15.75">
      <c r="A52" s="102" t="s">
        <v>141</v>
      </c>
      <c r="B52" s="132">
        <v>30000</v>
      </c>
      <c r="C52" s="107" t="s">
        <v>158</v>
      </c>
      <c r="D52" s="132">
        <v>500000</v>
      </c>
    </row>
    <row r="53" spans="1:8" ht="16.5" thickBot="1">
      <c r="A53" s="102" t="s">
        <v>159</v>
      </c>
      <c r="B53" s="108">
        <v>100000</v>
      </c>
      <c r="C53" s="109">
        <v>100000</v>
      </c>
      <c r="D53" s="108">
        <v>300000</v>
      </c>
    </row>
    <row r="54" spans="1:8" ht="16.5" thickBot="1">
      <c r="A54" s="103" t="s">
        <v>140</v>
      </c>
      <c r="B54" s="101">
        <v>191350</v>
      </c>
      <c r="C54" s="104">
        <v>780000</v>
      </c>
      <c r="D54" s="105">
        <v>1350000</v>
      </c>
      <c r="H54" s="128"/>
    </row>
    <row r="56" spans="1:8" ht="15.75" thickBot="1">
      <c r="B56" s="96"/>
    </row>
    <row r="57" spans="1:8" ht="18.75">
      <c r="A57" s="337"/>
      <c r="B57" s="338"/>
      <c r="C57" s="338"/>
      <c r="D57" s="339"/>
    </row>
    <row r="58" spans="1:8" ht="15.75" thickBot="1">
      <c r="A58" s="275"/>
      <c r="B58" s="276"/>
      <c r="C58" s="276"/>
      <c r="D58" s="277"/>
    </row>
    <row r="59" spans="1:8" ht="15.75">
      <c r="B59" s="209" t="s">
        <v>206</v>
      </c>
      <c r="C59" s="85"/>
      <c r="D59" s="12"/>
    </row>
    <row r="64" spans="1:8" ht="18.75">
      <c r="A64" s="79"/>
    </row>
    <row r="65" spans="1:4">
      <c r="C65" s="60"/>
    </row>
    <row r="66" spans="1:4">
      <c r="A66" s="21"/>
      <c r="D66" s="60"/>
    </row>
    <row r="67" spans="1:4" ht="18.75">
      <c r="A67" s="222"/>
      <c r="B67" s="90"/>
    </row>
  </sheetData>
  <mergeCells count="5">
    <mergeCell ref="A1:D1"/>
    <mergeCell ref="F2:M2"/>
    <mergeCell ref="A57:D57"/>
    <mergeCell ref="A36:D36"/>
    <mergeCell ref="A45:D45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9"/>
  <sheetViews>
    <sheetView zoomScale="78" zoomScaleNormal="78" workbookViewId="0">
      <selection activeCell="D40" sqref="D40"/>
    </sheetView>
  </sheetViews>
  <sheetFormatPr defaultRowHeight="15"/>
  <cols>
    <col min="1" max="1" width="12.140625" style="27" customWidth="1"/>
    <col min="2" max="2" width="25.85546875" style="28" customWidth="1"/>
    <col min="3" max="3" width="6.85546875" style="27" customWidth="1"/>
    <col min="4" max="4" width="16" style="27" bestFit="1" customWidth="1"/>
    <col min="5" max="5" width="16.7109375" style="27" customWidth="1"/>
    <col min="6" max="7" width="16" style="27" bestFit="1" customWidth="1"/>
    <col min="8" max="8" width="13.42578125" style="27" bestFit="1" customWidth="1"/>
    <col min="9" max="9" width="7.7109375" style="27" customWidth="1"/>
    <col min="10" max="10" width="17" style="27" bestFit="1" customWidth="1"/>
    <col min="11" max="11" width="13.42578125" style="27" bestFit="1" customWidth="1"/>
    <col min="12" max="13" width="9.140625" style="27"/>
    <col min="14" max="14" width="12.28515625" style="27" bestFit="1" customWidth="1"/>
    <col min="15" max="16384" width="9.140625" style="27"/>
  </cols>
  <sheetData>
    <row r="1" spans="1:13" ht="21">
      <c r="A1" s="376" t="s">
        <v>126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3">
      <c r="A2" s="373" t="s">
        <v>198</v>
      </c>
      <c r="B2" s="367" t="s">
        <v>108</v>
      </c>
      <c r="C2" s="378" t="s">
        <v>48</v>
      </c>
      <c r="D2" s="379"/>
      <c r="E2" s="379"/>
      <c r="F2" s="379"/>
      <c r="G2" s="379"/>
      <c r="H2" s="379"/>
      <c r="I2" s="379"/>
      <c r="J2" s="379"/>
      <c r="K2" s="380"/>
    </row>
    <row r="3" spans="1:13">
      <c r="A3" s="365"/>
      <c r="B3" s="377"/>
      <c r="C3" s="381" t="s">
        <v>45</v>
      </c>
      <c r="D3" s="381"/>
      <c r="E3" s="381"/>
      <c r="F3" s="381" t="s">
        <v>46</v>
      </c>
      <c r="G3" s="381"/>
      <c r="H3" s="381"/>
      <c r="I3" s="381" t="s">
        <v>47</v>
      </c>
      <c r="J3" s="381"/>
      <c r="K3" s="381"/>
    </row>
    <row r="4" spans="1:13" s="28" customFormat="1" ht="45">
      <c r="A4" s="365"/>
      <c r="B4" s="33" t="s">
        <v>61</v>
      </c>
      <c r="C4" s="29" t="s">
        <v>77</v>
      </c>
      <c r="D4" s="29" t="s">
        <v>62</v>
      </c>
      <c r="E4" s="29" t="s">
        <v>196</v>
      </c>
      <c r="F4" s="29" t="s">
        <v>77</v>
      </c>
      <c r="G4" s="29" t="s">
        <v>62</v>
      </c>
      <c r="H4" s="29" t="s">
        <v>87</v>
      </c>
      <c r="I4" s="29" t="s">
        <v>77</v>
      </c>
      <c r="J4" s="29" t="s">
        <v>62</v>
      </c>
      <c r="K4" s="29" t="s">
        <v>87</v>
      </c>
    </row>
    <row r="5" spans="1:13">
      <c r="A5" s="14" t="s">
        <v>63</v>
      </c>
      <c r="B5" s="38" t="s">
        <v>53</v>
      </c>
      <c r="C5" s="134">
        <v>9.1999999999999993</v>
      </c>
      <c r="D5" s="182">
        <v>230000</v>
      </c>
      <c r="E5" s="182">
        <v>25000</v>
      </c>
      <c r="F5" s="190">
        <v>12</v>
      </c>
      <c r="G5" s="182">
        <v>300000</v>
      </c>
      <c r="H5" s="182">
        <f>G5/F5</f>
        <v>25000</v>
      </c>
      <c r="I5" s="189" t="s">
        <v>212</v>
      </c>
      <c r="J5" s="182">
        <f>AVERAGE(D5,G5)</f>
        <v>265000</v>
      </c>
      <c r="K5" s="182" t="e">
        <f t="shared" ref="K5:K18" si="0">J5/I5</f>
        <v>#VALUE!</v>
      </c>
    </row>
    <row r="6" spans="1:13">
      <c r="A6" s="14"/>
      <c r="B6" s="38"/>
      <c r="C6" s="134">
        <v>6.8</v>
      </c>
      <c r="D6" s="182">
        <v>170000</v>
      </c>
      <c r="E6" s="182">
        <v>25000</v>
      </c>
      <c r="F6" s="190">
        <v>9</v>
      </c>
      <c r="G6" s="182">
        <v>225000</v>
      </c>
      <c r="H6" s="182">
        <v>25000</v>
      </c>
      <c r="I6" s="183">
        <v>7.9</v>
      </c>
      <c r="J6" s="182">
        <v>197500</v>
      </c>
      <c r="K6" s="182">
        <v>25000</v>
      </c>
    </row>
    <row r="7" spans="1:13">
      <c r="A7" s="347" t="s">
        <v>207</v>
      </c>
      <c r="B7" s="39" t="s">
        <v>55</v>
      </c>
      <c r="C7" s="19">
        <v>1.7</v>
      </c>
      <c r="D7" s="184">
        <f>75000*1.7</f>
        <v>127500</v>
      </c>
      <c r="E7" s="184">
        <f t="shared" ref="E7:E18" si="1">D7/C7</f>
        <v>75000</v>
      </c>
      <c r="F7" s="191">
        <v>2</v>
      </c>
      <c r="G7" s="184">
        <v>150000</v>
      </c>
      <c r="H7" s="184">
        <f t="shared" ref="H7:H16" si="2">G7/F7</f>
        <v>75000</v>
      </c>
      <c r="I7" s="185">
        <f t="shared" ref="I7:I18" si="3">AVERAGE(C7,F7)</f>
        <v>1.85</v>
      </c>
      <c r="J7" s="184">
        <f t="shared" ref="J7:J18" si="4">AVERAGE(D7,G7)</f>
        <v>138750</v>
      </c>
      <c r="K7" s="184">
        <f t="shared" si="0"/>
        <v>75000</v>
      </c>
    </row>
    <row r="8" spans="1:13">
      <c r="A8" s="347"/>
      <c r="B8" s="39" t="s">
        <v>67</v>
      </c>
      <c r="C8" s="19">
        <v>1.7</v>
      </c>
      <c r="D8" s="184">
        <f t="shared" ref="D8:D9" si="5">75000*1.7</f>
        <v>127500</v>
      </c>
      <c r="E8" s="184">
        <f t="shared" si="1"/>
        <v>75000</v>
      </c>
      <c r="F8" s="191">
        <v>2</v>
      </c>
      <c r="G8" s="184">
        <v>150000</v>
      </c>
      <c r="H8" s="184">
        <f t="shared" si="2"/>
        <v>75000</v>
      </c>
      <c r="I8" s="185">
        <f t="shared" si="3"/>
        <v>1.85</v>
      </c>
      <c r="J8" s="184">
        <f t="shared" si="4"/>
        <v>138750</v>
      </c>
      <c r="K8" s="184">
        <f t="shared" si="0"/>
        <v>75000</v>
      </c>
    </row>
    <row r="9" spans="1:13">
      <c r="A9" s="347"/>
      <c r="B9" s="39" t="s">
        <v>68</v>
      </c>
      <c r="C9" s="19">
        <v>1.7</v>
      </c>
      <c r="D9" s="184">
        <f t="shared" si="5"/>
        <v>127500</v>
      </c>
      <c r="E9" s="184">
        <f t="shared" si="1"/>
        <v>75000</v>
      </c>
      <c r="F9" s="191">
        <v>2</v>
      </c>
      <c r="G9" s="184">
        <v>150000</v>
      </c>
      <c r="H9" s="184">
        <f t="shared" si="2"/>
        <v>75000</v>
      </c>
      <c r="I9" s="185">
        <f t="shared" si="3"/>
        <v>1.85</v>
      </c>
      <c r="J9" s="184">
        <f t="shared" si="4"/>
        <v>138750</v>
      </c>
      <c r="K9" s="184">
        <f t="shared" si="0"/>
        <v>75000</v>
      </c>
    </row>
    <row r="10" spans="1:13">
      <c r="A10" s="347"/>
      <c r="B10" s="39" t="s">
        <v>66</v>
      </c>
      <c r="C10" s="19">
        <v>1.7</v>
      </c>
      <c r="D10" s="184">
        <f t="shared" ref="D10:D12" si="6">75000*1.7</f>
        <v>127500</v>
      </c>
      <c r="E10" s="184">
        <f t="shared" si="1"/>
        <v>75000</v>
      </c>
      <c r="F10" s="191">
        <v>2</v>
      </c>
      <c r="G10" s="184">
        <v>150000</v>
      </c>
      <c r="H10" s="184">
        <f t="shared" si="2"/>
        <v>75000</v>
      </c>
      <c r="I10" s="185">
        <f t="shared" si="3"/>
        <v>1.85</v>
      </c>
      <c r="J10" s="184">
        <f t="shared" si="4"/>
        <v>138750</v>
      </c>
      <c r="K10" s="184">
        <f t="shared" si="0"/>
        <v>75000</v>
      </c>
    </row>
    <row r="11" spans="1:13">
      <c r="A11" s="347"/>
      <c r="B11" s="39" t="s">
        <v>58</v>
      </c>
      <c r="C11" s="19">
        <v>1.7</v>
      </c>
      <c r="D11" s="184">
        <f t="shared" si="6"/>
        <v>127500</v>
      </c>
      <c r="E11" s="184">
        <f t="shared" si="1"/>
        <v>75000</v>
      </c>
      <c r="F11" s="191">
        <v>2</v>
      </c>
      <c r="G11" s="184">
        <v>150000</v>
      </c>
      <c r="H11" s="184">
        <f t="shared" si="2"/>
        <v>75000</v>
      </c>
      <c r="I11" s="185">
        <f t="shared" si="3"/>
        <v>1.85</v>
      </c>
      <c r="J11" s="184">
        <f t="shared" si="4"/>
        <v>138750</v>
      </c>
      <c r="K11" s="184">
        <f t="shared" si="0"/>
        <v>75000</v>
      </c>
    </row>
    <row r="12" spans="1:13">
      <c r="A12" s="347"/>
      <c r="B12" s="39" t="s">
        <v>59</v>
      </c>
      <c r="C12" s="19">
        <v>1.7</v>
      </c>
      <c r="D12" s="184">
        <f t="shared" si="6"/>
        <v>127500</v>
      </c>
      <c r="E12" s="184">
        <f t="shared" si="1"/>
        <v>75000</v>
      </c>
      <c r="F12" s="191">
        <v>2</v>
      </c>
      <c r="G12" s="184">
        <v>150000</v>
      </c>
      <c r="H12" s="184">
        <f t="shared" si="2"/>
        <v>75000</v>
      </c>
      <c r="I12" s="185">
        <f t="shared" si="3"/>
        <v>1.85</v>
      </c>
      <c r="J12" s="184">
        <f t="shared" si="4"/>
        <v>138750</v>
      </c>
      <c r="K12" s="184">
        <f t="shared" si="0"/>
        <v>75000</v>
      </c>
    </row>
    <row r="13" spans="1:13">
      <c r="A13" s="347"/>
      <c r="B13" s="40" t="s">
        <v>49</v>
      </c>
      <c r="C13" s="19">
        <v>1.7</v>
      </c>
      <c r="D13" s="184">
        <f t="shared" ref="D13:D15" si="7">25000*1.7</f>
        <v>42500</v>
      </c>
      <c r="E13" s="184">
        <f t="shared" si="1"/>
        <v>25000</v>
      </c>
      <c r="F13" s="191">
        <v>2</v>
      </c>
      <c r="G13" s="184">
        <v>50000</v>
      </c>
      <c r="H13" s="184">
        <f t="shared" si="2"/>
        <v>25000</v>
      </c>
      <c r="I13" s="185">
        <f t="shared" si="3"/>
        <v>1.85</v>
      </c>
      <c r="J13" s="184">
        <f t="shared" si="4"/>
        <v>46250</v>
      </c>
      <c r="K13" s="184">
        <f t="shared" si="0"/>
        <v>25000</v>
      </c>
    </row>
    <row r="14" spans="1:13">
      <c r="A14" s="347"/>
      <c r="B14" s="40" t="s">
        <v>50</v>
      </c>
      <c r="C14" s="19">
        <v>1.7</v>
      </c>
      <c r="D14" s="184">
        <f t="shared" si="7"/>
        <v>42500</v>
      </c>
      <c r="E14" s="184">
        <f t="shared" si="1"/>
        <v>25000</v>
      </c>
      <c r="F14" s="191">
        <v>3</v>
      </c>
      <c r="G14" s="184">
        <v>75000</v>
      </c>
      <c r="H14" s="184">
        <f t="shared" si="2"/>
        <v>25000</v>
      </c>
      <c r="I14" s="185">
        <f t="shared" si="3"/>
        <v>2.35</v>
      </c>
      <c r="J14" s="184">
        <f t="shared" si="4"/>
        <v>58750</v>
      </c>
      <c r="K14" s="184">
        <f t="shared" si="0"/>
        <v>25000</v>
      </c>
      <c r="M14" s="20"/>
    </row>
    <row r="15" spans="1:13">
      <c r="A15" s="347"/>
      <c r="B15" s="40" t="s">
        <v>75</v>
      </c>
      <c r="C15" s="19">
        <v>1.7</v>
      </c>
      <c r="D15" s="184">
        <f t="shared" si="7"/>
        <v>42500</v>
      </c>
      <c r="E15" s="184">
        <f t="shared" si="1"/>
        <v>25000</v>
      </c>
      <c r="F15" s="191">
        <v>5.5</v>
      </c>
      <c r="G15" s="184">
        <v>137500</v>
      </c>
      <c r="H15" s="184">
        <f t="shared" si="2"/>
        <v>25000</v>
      </c>
      <c r="I15" s="185">
        <f t="shared" si="3"/>
        <v>3.6</v>
      </c>
      <c r="J15" s="184">
        <f t="shared" si="4"/>
        <v>90000</v>
      </c>
      <c r="K15" s="184">
        <f t="shared" si="0"/>
        <v>25000</v>
      </c>
    </row>
    <row r="16" spans="1:13">
      <c r="A16" s="346" t="s">
        <v>65</v>
      </c>
      <c r="B16" s="41" t="s">
        <v>76</v>
      </c>
      <c r="C16" s="89">
        <v>2</v>
      </c>
      <c r="D16" s="186">
        <v>70000</v>
      </c>
      <c r="E16" s="186">
        <f t="shared" si="1"/>
        <v>35000</v>
      </c>
      <c r="F16" s="192">
        <v>4</v>
      </c>
      <c r="G16" s="188">
        <v>40000</v>
      </c>
      <c r="H16" s="188">
        <f t="shared" si="2"/>
        <v>10000</v>
      </c>
      <c r="I16" s="187">
        <f t="shared" si="3"/>
        <v>3</v>
      </c>
      <c r="J16" s="188">
        <f t="shared" si="4"/>
        <v>55000</v>
      </c>
      <c r="K16" s="188">
        <f t="shared" si="0"/>
        <v>18333.333333333332</v>
      </c>
    </row>
    <row r="17" spans="1:16">
      <c r="A17" s="346"/>
      <c r="B17" s="42" t="s">
        <v>82</v>
      </c>
      <c r="C17" s="89">
        <v>2</v>
      </c>
      <c r="D17" s="186">
        <v>70000</v>
      </c>
      <c r="E17" s="186">
        <f t="shared" si="1"/>
        <v>35000</v>
      </c>
      <c r="F17" s="192">
        <v>4</v>
      </c>
      <c r="G17" s="188">
        <v>50000</v>
      </c>
      <c r="H17" s="188">
        <v>12500</v>
      </c>
      <c r="I17" s="187">
        <f t="shared" si="3"/>
        <v>3</v>
      </c>
      <c r="J17" s="188">
        <f t="shared" si="4"/>
        <v>60000</v>
      </c>
      <c r="K17" s="188">
        <f t="shared" si="0"/>
        <v>20000</v>
      </c>
    </row>
    <row r="18" spans="1:16">
      <c r="A18" s="346"/>
      <c r="B18" s="42" t="s">
        <v>83</v>
      </c>
      <c r="C18" s="89">
        <v>2</v>
      </c>
      <c r="D18" s="186">
        <v>70000</v>
      </c>
      <c r="E18" s="186">
        <f t="shared" si="1"/>
        <v>35000</v>
      </c>
      <c r="F18" s="192">
        <v>4</v>
      </c>
      <c r="G18" s="188">
        <v>50000</v>
      </c>
      <c r="H18" s="188">
        <f>G18/F18</f>
        <v>12500</v>
      </c>
      <c r="I18" s="187">
        <f t="shared" si="3"/>
        <v>3</v>
      </c>
      <c r="J18" s="188">
        <f t="shared" si="4"/>
        <v>60000</v>
      </c>
      <c r="K18" s="188">
        <f t="shared" si="0"/>
        <v>20000</v>
      </c>
    </row>
    <row r="19" spans="1:16" hidden="1">
      <c r="A19" s="37" t="s">
        <v>65</v>
      </c>
      <c r="B19" s="48"/>
      <c r="C19" s="56"/>
      <c r="D19" s="26"/>
      <c r="E19" s="26"/>
      <c r="F19" s="56"/>
      <c r="G19" s="26"/>
      <c r="H19" s="26"/>
      <c r="I19" s="56"/>
      <c r="J19" s="26"/>
      <c r="K19" s="26"/>
    </row>
    <row r="20" spans="1:16" hidden="1">
      <c r="A20" s="37" t="s">
        <v>65</v>
      </c>
      <c r="B20" s="48"/>
      <c r="C20" s="56"/>
      <c r="D20" s="26"/>
      <c r="E20" s="26"/>
      <c r="F20" s="56"/>
      <c r="G20" s="26"/>
      <c r="H20" s="26"/>
      <c r="I20" s="56"/>
      <c r="J20" s="26"/>
      <c r="K20" s="26"/>
    </row>
    <row r="21" spans="1:16" hidden="1">
      <c r="A21" s="37" t="s">
        <v>65</v>
      </c>
      <c r="B21" s="201"/>
      <c r="C21" s="56"/>
      <c r="D21" s="26"/>
      <c r="E21" s="26"/>
      <c r="F21" s="56"/>
      <c r="G21" s="26"/>
      <c r="H21" s="26"/>
      <c r="I21" s="56"/>
      <c r="J21" s="26"/>
      <c r="K21" s="26"/>
    </row>
    <row r="22" spans="1:16">
      <c r="A22" s="88" t="s">
        <v>195</v>
      </c>
      <c r="B22" s="364">
        <f>0.2</f>
        <v>0.2</v>
      </c>
      <c r="C22" s="365"/>
      <c r="D22" s="365"/>
      <c r="E22" s="366"/>
      <c r="F22" s="383">
        <f>0.6</f>
        <v>0.6</v>
      </c>
      <c r="G22" s="384"/>
      <c r="H22" s="385"/>
      <c r="I22" s="383">
        <f>AVERAGE(B22,F22)</f>
        <v>0.4</v>
      </c>
      <c r="J22" s="384"/>
      <c r="K22" s="385"/>
      <c r="P22" s="31"/>
    </row>
    <row r="23" spans="1:16">
      <c r="A23" s="374" t="s">
        <v>202</v>
      </c>
      <c r="B23" s="202" t="s">
        <v>84</v>
      </c>
      <c r="C23" s="15" t="s">
        <v>200</v>
      </c>
      <c r="D23" s="23">
        <v>80000</v>
      </c>
      <c r="E23" s="23">
        <v>25000</v>
      </c>
      <c r="F23" s="15">
        <v>12.6</v>
      </c>
      <c r="G23" s="23" t="s">
        <v>201</v>
      </c>
      <c r="H23" s="23">
        <v>25000</v>
      </c>
      <c r="I23" s="15">
        <v>7.4</v>
      </c>
      <c r="J23" s="23">
        <v>185000</v>
      </c>
      <c r="K23" s="23">
        <f>J23/I23</f>
        <v>25000</v>
      </c>
      <c r="M23" s="31"/>
    </row>
    <row r="24" spans="1:16">
      <c r="A24" s="375"/>
      <c r="B24" s="39" t="s">
        <v>85</v>
      </c>
      <c r="C24" s="19">
        <f>SUM(C5:C15)*B22</f>
        <v>6.2599999999999989</v>
      </c>
      <c r="D24" s="32">
        <f>SUM(D5:D15)*B22</f>
        <v>258500</v>
      </c>
      <c r="E24" s="32">
        <f>D24/C24</f>
        <v>41293.929712460071</v>
      </c>
      <c r="F24" s="19">
        <f>SUM(F5:F15)*F22</f>
        <v>26.099999999999998</v>
      </c>
      <c r="G24" s="32">
        <f>SUM(G5:G15)*F22</f>
        <v>1012500</v>
      </c>
      <c r="H24" s="32">
        <f>G24/F24</f>
        <v>38793.103448275862</v>
      </c>
      <c r="I24" s="19">
        <f>SUM(I5:I15)*I22</f>
        <v>10.720000000000002</v>
      </c>
      <c r="J24" s="32">
        <f>SUM(J5:J15)*I22</f>
        <v>596000</v>
      </c>
      <c r="K24" s="32">
        <f>J24/I24</f>
        <v>55597.014925373122</v>
      </c>
      <c r="M24" s="20"/>
    </row>
    <row r="25" spans="1:16" ht="30">
      <c r="A25" s="375"/>
      <c r="B25" s="42" t="s">
        <v>86</v>
      </c>
      <c r="C25" s="17">
        <f>SUM(C5:C18)*B22</f>
        <v>7.46</v>
      </c>
      <c r="D25" s="34">
        <f>SUM(D5:D18)*B22</f>
        <v>300500</v>
      </c>
      <c r="E25" s="34">
        <f t="shared" ref="E25:E28" si="8">D25/C25</f>
        <v>40281.501340482573</v>
      </c>
      <c r="F25" s="17">
        <f>SUM(F5:F18)*F22</f>
        <v>33.299999999999997</v>
      </c>
      <c r="G25" s="34">
        <f>SUM(G5:G18)*F22</f>
        <v>1096500</v>
      </c>
      <c r="H25" s="34">
        <f>G25/F25</f>
        <v>32927.927927927929</v>
      </c>
      <c r="I25" s="17">
        <f>SUM(I5:I18)*I22</f>
        <v>14.320000000000002</v>
      </c>
      <c r="J25" s="34">
        <f>SUM(J5:J18)*I22</f>
        <v>666000</v>
      </c>
      <c r="K25" s="34">
        <f>J25/I25</f>
        <v>46508.379888268151</v>
      </c>
    </row>
    <row r="26" spans="1:16">
      <c r="A26" s="375"/>
      <c r="B26" s="44" t="s">
        <v>84</v>
      </c>
      <c r="C26" s="56">
        <v>64</v>
      </c>
      <c r="D26" s="51">
        <f>D23*20</f>
        <v>1600000</v>
      </c>
      <c r="E26" s="26">
        <f t="shared" si="8"/>
        <v>25000</v>
      </c>
      <c r="F26" s="56">
        <f>F23*20</f>
        <v>252</v>
      </c>
      <c r="G26" s="51">
        <v>6300000</v>
      </c>
      <c r="H26" s="26">
        <f>G26/F26</f>
        <v>25000</v>
      </c>
      <c r="I26" s="56">
        <f>I23*20</f>
        <v>148</v>
      </c>
      <c r="J26" s="51">
        <f t="shared" ref="J26" si="9">J23*20</f>
        <v>3700000</v>
      </c>
      <c r="K26" s="26">
        <f t="shared" ref="K26:K28" si="10">J26/I26</f>
        <v>25000</v>
      </c>
      <c r="L26" s="36"/>
    </row>
    <row r="27" spans="1:16">
      <c r="A27" s="375"/>
      <c r="B27" s="44" t="s">
        <v>85</v>
      </c>
      <c r="C27" s="56">
        <f t="shared" ref="C27:C28" si="11">C24*20</f>
        <v>125.19999999999997</v>
      </c>
      <c r="D27" s="51">
        <f>D24*20</f>
        <v>5170000</v>
      </c>
      <c r="E27" s="26">
        <f t="shared" si="8"/>
        <v>41293.929712460071</v>
      </c>
      <c r="F27" s="56">
        <f t="shared" ref="F27:J28" si="12">F24*20</f>
        <v>522</v>
      </c>
      <c r="G27" s="51">
        <f t="shared" si="12"/>
        <v>20250000</v>
      </c>
      <c r="H27" s="26">
        <f>G27/F27</f>
        <v>38793.103448275862</v>
      </c>
      <c r="I27" s="56">
        <f t="shared" si="12"/>
        <v>214.40000000000003</v>
      </c>
      <c r="J27" s="51">
        <f t="shared" si="12"/>
        <v>11920000</v>
      </c>
      <c r="K27" s="26">
        <f t="shared" si="10"/>
        <v>55597.014925373129</v>
      </c>
      <c r="L27" s="36"/>
    </row>
    <row r="28" spans="1:16" ht="30">
      <c r="A28" s="354"/>
      <c r="B28" s="44" t="s">
        <v>86</v>
      </c>
      <c r="C28" s="56">
        <f t="shared" si="11"/>
        <v>149.19999999999999</v>
      </c>
      <c r="D28" s="51">
        <f>D25*20</f>
        <v>6010000</v>
      </c>
      <c r="E28" s="26">
        <f t="shared" si="8"/>
        <v>40281.50134048258</v>
      </c>
      <c r="F28" s="56">
        <f t="shared" si="12"/>
        <v>666</v>
      </c>
      <c r="G28" s="51">
        <f t="shared" si="12"/>
        <v>21930000</v>
      </c>
      <c r="H28" s="26">
        <f>G28/F28</f>
        <v>32927.927927927929</v>
      </c>
      <c r="I28" s="56">
        <f t="shared" si="12"/>
        <v>286.40000000000003</v>
      </c>
      <c r="J28" s="51">
        <f t="shared" si="12"/>
        <v>13320000</v>
      </c>
      <c r="K28" s="26">
        <f t="shared" si="10"/>
        <v>46508.379888268151</v>
      </c>
      <c r="L28" s="36"/>
    </row>
    <row r="29" spans="1:16">
      <c r="A29" s="203"/>
      <c r="B29" s="45"/>
      <c r="C29" s="22"/>
      <c r="D29" s="204"/>
      <c r="E29" s="25"/>
      <c r="F29" s="22"/>
      <c r="G29" s="204"/>
      <c r="H29" s="25"/>
      <c r="I29" s="22"/>
      <c r="J29" s="204"/>
      <c r="K29" s="25"/>
      <c r="L29" s="36"/>
    </row>
    <row r="30" spans="1:16">
      <c r="A30" s="203"/>
      <c r="B30" s="45"/>
      <c r="C30" s="22"/>
      <c r="D30" s="204"/>
      <c r="E30" s="25"/>
      <c r="F30" s="22"/>
      <c r="G30" s="204"/>
      <c r="H30" s="25"/>
      <c r="I30" s="22"/>
      <c r="J30" s="204"/>
      <c r="K30" s="25"/>
      <c r="L30" s="36"/>
    </row>
    <row r="31" spans="1:16">
      <c r="A31" s="203"/>
      <c r="B31" s="45"/>
      <c r="C31" s="22"/>
      <c r="D31" s="204"/>
      <c r="E31" s="25"/>
      <c r="F31" s="22"/>
      <c r="G31" s="204"/>
      <c r="H31" s="25"/>
      <c r="I31" s="22"/>
      <c r="J31" s="204"/>
      <c r="K31" s="25"/>
      <c r="L31" s="36"/>
    </row>
    <row r="32" spans="1:16" s="22" customFormat="1">
      <c r="A32" s="370"/>
      <c r="B32" s="45"/>
      <c r="C32" s="214"/>
      <c r="D32" s="215"/>
      <c r="E32" s="215"/>
      <c r="F32" s="214"/>
      <c r="G32" s="215"/>
      <c r="H32" s="215"/>
      <c r="I32" s="214"/>
      <c r="J32" s="215"/>
      <c r="K32" s="215"/>
    </row>
    <row r="33" spans="1:16">
      <c r="A33" s="365"/>
      <c r="B33" s="361" t="s">
        <v>167</v>
      </c>
      <c r="C33" s="371" t="s">
        <v>48</v>
      </c>
      <c r="D33" s="371"/>
      <c r="E33" s="371"/>
      <c r="F33" s="371"/>
      <c r="G33" s="371"/>
      <c r="H33" s="371"/>
      <c r="I33" s="371"/>
      <c r="J33" s="371"/>
      <c r="K33" s="371"/>
      <c r="N33" s="58"/>
    </row>
    <row r="34" spans="1:16">
      <c r="B34" s="362"/>
      <c r="C34" s="371" t="s">
        <v>45</v>
      </c>
      <c r="D34" s="371"/>
      <c r="E34" s="371"/>
      <c r="F34" s="371" t="s">
        <v>46</v>
      </c>
      <c r="G34" s="371"/>
      <c r="H34" s="371"/>
      <c r="I34" s="371" t="s">
        <v>47</v>
      </c>
      <c r="J34" s="371"/>
      <c r="K34" s="371"/>
      <c r="M34" s="31"/>
    </row>
    <row r="35" spans="1:16" ht="45">
      <c r="B35" s="363"/>
      <c r="C35" s="29" t="s">
        <v>80</v>
      </c>
      <c r="D35" s="29" t="s">
        <v>62</v>
      </c>
      <c r="E35" s="29" t="s">
        <v>87</v>
      </c>
      <c r="F35" s="29" t="s">
        <v>80</v>
      </c>
      <c r="G35" s="29" t="s">
        <v>62</v>
      </c>
      <c r="H35" s="29" t="s">
        <v>87</v>
      </c>
      <c r="I35" s="29" t="s">
        <v>80</v>
      </c>
      <c r="J35" s="29" t="s">
        <v>62</v>
      </c>
      <c r="K35" s="29" t="s">
        <v>87</v>
      </c>
    </row>
    <row r="36" spans="1:16">
      <c r="A36" s="18"/>
      <c r="B36" s="43" t="s">
        <v>78</v>
      </c>
      <c r="C36" s="253">
        <v>2</v>
      </c>
      <c r="D36" s="216">
        <v>25000</v>
      </c>
      <c r="E36" s="216">
        <f>D36/C36</f>
        <v>12500</v>
      </c>
      <c r="F36" s="253">
        <v>12</v>
      </c>
      <c r="G36" s="216">
        <v>900000</v>
      </c>
      <c r="H36" s="216">
        <f>G36/F36</f>
        <v>75000</v>
      </c>
      <c r="I36" s="253">
        <f t="shared" ref="I36:J38" si="13">AVERAGE(C36,F36)</f>
        <v>7</v>
      </c>
      <c r="J36" s="216">
        <f t="shared" si="13"/>
        <v>462500</v>
      </c>
      <c r="K36" s="216">
        <f>J36/I36</f>
        <v>66071.428571428565</v>
      </c>
      <c r="M36" s="20"/>
    </row>
    <row r="37" spans="1:16">
      <c r="A37" s="18"/>
      <c r="B37" s="43" t="s">
        <v>79</v>
      </c>
      <c r="C37" s="253">
        <v>2</v>
      </c>
      <c r="D37" s="216">
        <v>25000</v>
      </c>
      <c r="E37" s="216">
        <f t="shared" ref="E37:E38" si="14">D37/C37</f>
        <v>12500</v>
      </c>
      <c r="F37" s="253">
        <v>10</v>
      </c>
      <c r="G37" s="216">
        <v>250000</v>
      </c>
      <c r="H37" s="216">
        <f>G37/F37</f>
        <v>25000</v>
      </c>
      <c r="I37" s="253">
        <f t="shared" si="13"/>
        <v>6</v>
      </c>
      <c r="J37" s="216">
        <f t="shared" si="13"/>
        <v>137500</v>
      </c>
      <c r="K37" s="216">
        <f t="shared" ref="K37:K38" si="15">J37/I37</f>
        <v>22916.666666666668</v>
      </c>
    </row>
    <row r="38" spans="1:16">
      <c r="A38" s="18"/>
      <c r="B38" s="43" t="s">
        <v>81</v>
      </c>
      <c r="C38" s="255">
        <v>2</v>
      </c>
      <c r="D38" s="216">
        <v>25000</v>
      </c>
      <c r="E38" s="216">
        <f t="shared" si="14"/>
        <v>12500</v>
      </c>
      <c r="F38" s="253">
        <v>10</v>
      </c>
      <c r="G38" s="216">
        <v>250000</v>
      </c>
      <c r="H38" s="216">
        <f>G38/F38</f>
        <v>25000</v>
      </c>
      <c r="I38" s="253">
        <f t="shared" si="13"/>
        <v>6</v>
      </c>
      <c r="J38" s="216">
        <f t="shared" si="13"/>
        <v>137500</v>
      </c>
      <c r="K38" s="216">
        <f t="shared" si="15"/>
        <v>22916.666666666668</v>
      </c>
    </row>
    <row r="39" spans="1:16">
      <c r="A39" s="16"/>
      <c r="B39" s="43" t="s">
        <v>78</v>
      </c>
      <c r="C39" s="253"/>
      <c r="D39" s="216"/>
      <c r="E39" s="216"/>
      <c r="F39" s="29"/>
      <c r="G39" s="216"/>
      <c r="H39" s="216"/>
      <c r="I39" s="29"/>
      <c r="J39" s="216"/>
      <c r="K39" s="216"/>
    </row>
    <row r="40" spans="1:16">
      <c r="A40" s="16"/>
      <c r="B40" s="43" t="s">
        <v>79</v>
      </c>
      <c r="C40" s="254"/>
      <c r="D40" s="216"/>
      <c r="E40" s="216"/>
      <c r="F40" s="29"/>
      <c r="G40" s="216"/>
      <c r="H40" s="216"/>
      <c r="I40" s="29"/>
      <c r="J40" s="216"/>
      <c r="K40" s="216"/>
    </row>
    <row r="41" spans="1:16">
      <c r="A41" s="16"/>
      <c r="B41" s="43" t="s">
        <v>81</v>
      </c>
      <c r="C41" s="253"/>
      <c r="D41" s="216"/>
      <c r="E41" s="216"/>
      <c r="F41" s="29"/>
      <c r="G41" s="216"/>
      <c r="H41" s="216"/>
      <c r="I41" s="29"/>
      <c r="J41" s="216"/>
      <c r="K41" s="216"/>
    </row>
    <row r="42" spans="1:16">
      <c r="B42" s="44" t="s">
        <v>195</v>
      </c>
      <c r="C42" s="372">
        <v>0.3</v>
      </c>
      <c r="D42" s="372"/>
      <c r="E42" s="372"/>
      <c r="F42" s="372">
        <v>0.8</v>
      </c>
      <c r="G42" s="372"/>
      <c r="H42" s="372"/>
      <c r="I42" s="372">
        <f>AVERAGE(C42,F42)</f>
        <v>0.55000000000000004</v>
      </c>
      <c r="J42" s="372"/>
      <c r="K42" s="372"/>
      <c r="P42" s="31"/>
    </row>
    <row r="43" spans="1:16">
      <c r="B43" s="54" t="s">
        <v>89</v>
      </c>
      <c r="C43" s="217">
        <f>SUM(C36:C38)*C42</f>
        <v>1.7999999999999998</v>
      </c>
      <c r="D43" s="218">
        <f>SUM(D36:D38)*C42</f>
        <v>22500</v>
      </c>
      <c r="E43" s="218">
        <f>D43/C43</f>
        <v>12500.000000000002</v>
      </c>
      <c r="F43" s="219">
        <f>SUM(F36:F38)*F42</f>
        <v>25.6</v>
      </c>
      <c r="G43" s="218">
        <f>SUM(G36:G38)*F42</f>
        <v>1120000</v>
      </c>
      <c r="H43" s="218">
        <f>G43/F43</f>
        <v>43750</v>
      </c>
      <c r="I43" s="219">
        <f>SUM(I36:I38)*I42</f>
        <v>10.450000000000001</v>
      </c>
      <c r="J43" s="218">
        <f>SUM(J36:J38)*I42</f>
        <v>405625.00000000006</v>
      </c>
      <c r="K43" s="218">
        <f>J43/I43</f>
        <v>38815.789473684214</v>
      </c>
    </row>
    <row r="44" spans="1:16">
      <c r="C44" s="28"/>
      <c r="D44" s="220"/>
      <c r="E44" s="220"/>
      <c r="F44" s="221"/>
      <c r="G44" s="220"/>
      <c r="H44" s="220"/>
      <c r="I44" s="221"/>
      <c r="J44" s="220"/>
      <c r="K44" s="220"/>
    </row>
    <row r="45" spans="1:16">
      <c r="C45" s="28"/>
      <c r="D45" s="215"/>
      <c r="E45" s="215"/>
      <c r="F45" s="214"/>
      <c r="G45" s="215"/>
      <c r="H45" s="215"/>
      <c r="I45" s="214"/>
      <c r="J45" s="215"/>
      <c r="K45" s="215"/>
    </row>
    <row r="46" spans="1:16">
      <c r="C46" s="28"/>
      <c r="D46" s="215"/>
      <c r="E46" s="215"/>
      <c r="F46" s="214"/>
      <c r="G46" s="215"/>
      <c r="H46" s="215"/>
      <c r="I46" s="214"/>
      <c r="J46" s="215"/>
      <c r="K46" s="215"/>
    </row>
    <row r="47" spans="1:16">
      <c r="A47" s="358" t="s">
        <v>198</v>
      </c>
      <c r="B47" s="367" t="s">
        <v>109</v>
      </c>
      <c r="C47" s="371" t="s">
        <v>48</v>
      </c>
      <c r="D47" s="371"/>
      <c r="E47" s="371"/>
      <c r="F47" s="371"/>
      <c r="G47" s="371"/>
      <c r="H47" s="371"/>
      <c r="I47" s="371"/>
      <c r="J47" s="371"/>
      <c r="K47" s="371"/>
    </row>
    <row r="48" spans="1:16">
      <c r="A48" s="359"/>
      <c r="B48" s="368"/>
      <c r="C48" s="371" t="s">
        <v>45</v>
      </c>
      <c r="D48" s="371"/>
      <c r="E48" s="371"/>
      <c r="F48" s="371" t="s">
        <v>46</v>
      </c>
      <c r="G48" s="371"/>
      <c r="H48" s="371"/>
      <c r="I48" s="371" t="s">
        <v>47</v>
      </c>
      <c r="J48" s="371"/>
      <c r="K48" s="371"/>
    </row>
    <row r="49" spans="1:14" ht="45">
      <c r="A49" s="360"/>
      <c r="B49" s="369"/>
      <c r="C49" s="29" t="s">
        <v>80</v>
      </c>
      <c r="D49" s="29" t="s">
        <v>62</v>
      </c>
      <c r="E49" s="29" t="s">
        <v>87</v>
      </c>
      <c r="F49" s="29" t="s">
        <v>80</v>
      </c>
      <c r="G49" s="29" t="s">
        <v>62</v>
      </c>
      <c r="H49" s="29" t="s">
        <v>87</v>
      </c>
      <c r="I49" s="29" t="s">
        <v>80</v>
      </c>
      <c r="J49" s="29" t="s">
        <v>62</v>
      </c>
      <c r="K49" s="29" t="s">
        <v>87</v>
      </c>
    </row>
    <row r="50" spans="1:14">
      <c r="A50" s="348" t="s">
        <v>64</v>
      </c>
      <c r="B50" s="44" t="s">
        <v>90</v>
      </c>
      <c r="C50" s="56" t="s">
        <v>34</v>
      </c>
      <c r="D50" s="26">
        <v>600000</v>
      </c>
      <c r="E50" s="56" t="s">
        <v>34</v>
      </c>
      <c r="F50" s="56" t="s">
        <v>34</v>
      </c>
      <c r="G50" s="26">
        <v>1500000</v>
      </c>
      <c r="H50" s="56" t="s">
        <v>34</v>
      </c>
      <c r="I50" s="56" t="s">
        <v>34</v>
      </c>
      <c r="J50" s="23">
        <f t="shared" ref="J50:J56" si="16">AVERAGE(D50,G50)</f>
        <v>1050000</v>
      </c>
      <c r="K50" s="56" t="s">
        <v>34</v>
      </c>
    </row>
    <row r="51" spans="1:14">
      <c r="A51" s="349"/>
      <c r="B51" s="44" t="s">
        <v>91</v>
      </c>
      <c r="C51" s="56" t="s">
        <v>34</v>
      </c>
      <c r="D51" s="26">
        <v>600000</v>
      </c>
      <c r="E51" s="56" t="s">
        <v>34</v>
      </c>
      <c r="F51" s="56" t="s">
        <v>34</v>
      </c>
      <c r="G51" s="26">
        <v>1500000</v>
      </c>
      <c r="H51" s="56" t="s">
        <v>34</v>
      </c>
      <c r="I51" s="56" t="s">
        <v>34</v>
      </c>
      <c r="J51" s="23">
        <f t="shared" si="16"/>
        <v>1050000</v>
      </c>
      <c r="K51" s="56" t="s">
        <v>34</v>
      </c>
    </row>
    <row r="52" spans="1:14">
      <c r="A52" s="205" t="s">
        <v>95</v>
      </c>
      <c r="B52" s="44" t="s">
        <v>92</v>
      </c>
      <c r="C52" s="56" t="s">
        <v>34</v>
      </c>
      <c r="D52" s="91">
        <v>1000000</v>
      </c>
      <c r="E52" s="56" t="s">
        <v>34</v>
      </c>
      <c r="F52" s="56" t="s">
        <v>34</v>
      </c>
      <c r="G52" s="26">
        <v>1500000</v>
      </c>
      <c r="H52" s="56" t="s">
        <v>34</v>
      </c>
      <c r="I52" s="56" t="s">
        <v>34</v>
      </c>
      <c r="J52" s="23">
        <f t="shared" si="16"/>
        <v>1250000</v>
      </c>
      <c r="K52" s="56" t="s">
        <v>34</v>
      </c>
      <c r="M52" s="20"/>
    </row>
    <row r="53" spans="1:14">
      <c r="A53" s="350" t="s">
        <v>65</v>
      </c>
      <c r="B53" s="206" t="s">
        <v>93</v>
      </c>
      <c r="C53" s="56" t="s">
        <v>34</v>
      </c>
      <c r="D53" s="91">
        <v>1000000</v>
      </c>
      <c r="E53" s="56" t="s">
        <v>34</v>
      </c>
      <c r="F53" s="56" t="s">
        <v>34</v>
      </c>
      <c r="G53" s="26">
        <v>1500000</v>
      </c>
      <c r="H53" s="56" t="s">
        <v>34</v>
      </c>
      <c r="I53" s="56" t="s">
        <v>34</v>
      </c>
      <c r="J53" s="23">
        <f t="shared" si="16"/>
        <v>1250000</v>
      </c>
      <c r="K53" s="56" t="s">
        <v>34</v>
      </c>
    </row>
    <row r="54" spans="1:14">
      <c r="A54" s="351"/>
      <c r="B54" s="206" t="s">
        <v>94</v>
      </c>
      <c r="C54" s="56" t="s">
        <v>34</v>
      </c>
      <c r="D54" s="91">
        <v>1000000</v>
      </c>
      <c r="E54" s="56" t="s">
        <v>34</v>
      </c>
      <c r="F54" s="56" t="s">
        <v>34</v>
      </c>
      <c r="G54" s="26">
        <v>1500000</v>
      </c>
      <c r="H54" s="56" t="s">
        <v>34</v>
      </c>
      <c r="I54" s="56" t="s">
        <v>34</v>
      </c>
      <c r="J54" s="23">
        <f t="shared" si="16"/>
        <v>1250000</v>
      </c>
      <c r="K54" s="56" t="s">
        <v>34</v>
      </c>
    </row>
    <row r="55" spans="1:14">
      <c r="A55" s="351"/>
      <c r="B55" s="46" t="s">
        <v>99</v>
      </c>
      <c r="C55" s="56" t="s">
        <v>34</v>
      </c>
      <c r="D55" s="91">
        <v>1000000</v>
      </c>
      <c r="E55" s="56" t="s">
        <v>34</v>
      </c>
      <c r="F55" s="56" t="s">
        <v>34</v>
      </c>
      <c r="G55" s="26">
        <v>1500000</v>
      </c>
      <c r="H55" s="86"/>
      <c r="J55" s="23">
        <f t="shared" si="16"/>
        <v>1250000</v>
      </c>
      <c r="K55" s="56" t="s">
        <v>34</v>
      </c>
    </row>
    <row r="56" spans="1:14">
      <c r="A56" s="352"/>
      <c r="B56" s="46" t="s">
        <v>100</v>
      </c>
      <c r="C56" s="56" t="s">
        <v>34</v>
      </c>
      <c r="D56" s="91">
        <v>1000000</v>
      </c>
      <c r="E56" s="56" t="s">
        <v>34</v>
      </c>
      <c r="F56" s="56" t="s">
        <v>34</v>
      </c>
      <c r="G56" s="26">
        <v>1500000</v>
      </c>
      <c r="H56" s="86"/>
      <c r="J56" s="23">
        <f t="shared" si="16"/>
        <v>1250000</v>
      </c>
      <c r="K56" s="56" t="s">
        <v>34</v>
      </c>
    </row>
    <row r="57" spans="1:14" hidden="1">
      <c r="A57" s="37" t="s">
        <v>98</v>
      </c>
      <c r="B57" s="47" t="s">
        <v>101</v>
      </c>
      <c r="C57" s="56" t="s">
        <v>34</v>
      </c>
      <c r="D57" s="30">
        <v>600000</v>
      </c>
      <c r="E57" s="56" t="s">
        <v>34</v>
      </c>
      <c r="F57" s="56" t="s">
        <v>34</v>
      </c>
      <c r="G57" s="30">
        <v>1500000</v>
      </c>
      <c r="J57" s="30"/>
      <c r="K57" s="56" t="s">
        <v>34</v>
      </c>
      <c r="L57" s="27" t="s">
        <v>88</v>
      </c>
    </row>
    <row r="58" spans="1:14" hidden="1">
      <c r="A58" s="37" t="s">
        <v>98</v>
      </c>
      <c r="B58" s="47" t="s">
        <v>102</v>
      </c>
      <c r="C58" s="56" t="s">
        <v>34</v>
      </c>
      <c r="D58" s="30">
        <v>600000</v>
      </c>
      <c r="E58" s="56" t="s">
        <v>34</v>
      </c>
      <c r="F58" s="56" t="s">
        <v>34</v>
      </c>
      <c r="G58" s="30">
        <v>1500000</v>
      </c>
      <c r="J58" s="30"/>
      <c r="K58" s="56" t="s">
        <v>34</v>
      </c>
      <c r="L58" s="27" t="s">
        <v>88</v>
      </c>
    </row>
    <row r="59" spans="1:14" ht="30" hidden="1">
      <c r="A59" s="37" t="s">
        <v>98</v>
      </c>
      <c r="B59" s="47" t="s">
        <v>103</v>
      </c>
      <c r="C59" s="56" t="s">
        <v>34</v>
      </c>
      <c r="D59" s="30">
        <v>600000</v>
      </c>
      <c r="E59" s="56" t="s">
        <v>34</v>
      </c>
      <c r="F59" s="56" t="s">
        <v>34</v>
      </c>
      <c r="G59" s="30">
        <v>1500000</v>
      </c>
      <c r="J59" s="30"/>
      <c r="K59" s="56" t="s">
        <v>34</v>
      </c>
      <c r="L59" s="27" t="s">
        <v>88</v>
      </c>
    </row>
    <row r="60" spans="1:14" ht="30" hidden="1">
      <c r="A60" s="37" t="s">
        <v>98</v>
      </c>
      <c r="B60" s="47" t="s">
        <v>104</v>
      </c>
      <c r="C60" s="56" t="s">
        <v>34</v>
      </c>
      <c r="D60" s="30">
        <v>600000</v>
      </c>
      <c r="E60" s="56" t="s">
        <v>34</v>
      </c>
      <c r="F60" s="56" t="s">
        <v>34</v>
      </c>
      <c r="G60" s="30">
        <v>1500000</v>
      </c>
      <c r="J60" s="30"/>
      <c r="K60" s="56" t="s">
        <v>34</v>
      </c>
      <c r="L60" s="27" t="s">
        <v>88</v>
      </c>
    </row>
    <row r="61" spans="1:14" ht="30" hidden="1">
      <c r="A61" s="37" t="s">
        <v>98</v>
      </c>
      <c r="B61" s="47" t="s">
        <v>105</v>
      </c>
      <c r="C61" s="56" t="s">
        <v>34</v>
      </c>
      <c r="D61" s="30">
        <v>600000</v>
      </c>
      <c r="E61" s="56" t="s">
        <v>34</v>
      </c>
      <c r="F61" s="56" t="s">
        <v>34</v>
      </c>
      <c r="G61" s="30">
        <v>1500000</v>
      </c>
      <c r="J61" s="30"/>
      <c r="K61" s="56" t="s">
        <v>34</v>
      </c>
      <c r="L61" s="27" t="s">
        <v>88</v>
      </c>
    </row>
    <row r="62" spans="1:14">
      <c r="A62" s="353" t="s">
        <v>203</v>
      </c>
      <c r="B62" s="39" t="s">
        <v>85</v>
      </c>
      <c r="C62" s="19" t="s">
        <v>34</v>
      </c>
      <c r="D62" s="213">
        <f>SUM(D50:D51)</f>
        <v>1200000</v>
      </c>
      <c r="E62" s="19" t="s">
        <v>34</v>
      </c>
      <c r="F62" s="19" t="s">
        <v>34</v>
      </c>
      <c r="G62" s="52">
        <f>SUM(G50:G51)</f>
        <v>3000000</v>
      </c>
      <c r="H62" s="19" t="s">
        <v>34</v>
      </c>
      <c r="I62" s="19" t="s">
        <v>34</v>
      </c>
      <c r="J62" s="213">
        <f>SUM(J50:J51)</f>
        <v>2100000</v>
      </c>
      <c r="K62" s="19" t="s">
        <v>34</v>
      </c>
    </row>
    <row r="63" spans="1:14">
      <c r="A63" s="354"/>
      <c r="B63" s="42" t="s">
        <v>107</v>
      </c>
      <c r="C63" s="17" t="s">
        <v>34</v>
      </c>
      <c r="D63" s="53">
        <f>SUM(D50:D56)</f>
        <v>6200000</v>
      </c>
      <c r="E63" s="17" t="s">
        <v>34</v>
      </c>
      <c r="F63" s="17" t="s">
        <v>34</v>
      </c>
      <c r="G63" s="53">
        <f>SUM(G50:G56)</f>
        <v>10500000</v>
      </c>
      <c r="H63" s="17" t="s">
        <v>34</v>
      </c>
      <c r="I63" s="17" t="s">
        <v>34</v>
      </c>
      <c r="J63" s="53">
        <f>SUM(J50:J56)</f>
        <v>8350000</v>
      </c>
      <c r="K63" s="17" t="s">
        <v>34</v>
      </c>
    </row>
    <row r="64" spans="1:14" ht="18.75">
      <c r="B64" s="92"/>
      <c r="N64" s="31"/>
    </row>
    <row r="67" spans="1:13" ht="21">
      <c r="A67" s="376"/>
      <c r="B67" s="376"/>
      <c r="C67" s="376"/>
      <c r="D67" s="376"/>
      <c r="E67" s="376"/>
      <c r="F67" s="376"/>
      <c r="G67" s="376"/>
      <c r="H67" s="376"/>
      <c r="I67" s="376"/>
      <c r="J67" s="376"/>
      <c r="K67" s="376"/>
    </row>
    <row r="68" spans="1:13">
      <c r="A68" s="358" t="s">
        <v>204</v>
      </c>
      <c r="B68" s="355" t="s">
        <v>205</v>
      </c>
      <c r="C68" s="382" t="s">
        <v>48</v>
      </c>
      <c r="D68" s="382"/>
      <c r="E68" s="382"/>
      <c r="F68" s="382"/>
      <c r="G68" s="382"/>
      <c r="H68" s="382"/>
      <c r="I68" s="382"/>
      <c r="J68" s="382"/>
      <c r="K68" s="382"/>
    </row>
    <row r="69" spans="1:13">
      <c r="A69" s="359"/>
      <c r="B69" s="356"/>
      <c r="C69" s="382" t="s">
        <v>45</v>
      </c>
      <c r="D69" s="382"/>
      <c r="E69" s="382"/>
      <c r="F69" s="382" t="s">
        <v>46</v>
      </c>
      <c r="G69" s="382"/>
      <c r="H69" s="382"/>
      <c r="I69" s="382" t="s">
        <v>47</v>
      </c>
      <c r="J69" s="382"/>
      <c r="K69" s="382"/>
    </row>
    <row r="70" spans="1:13" ht="45">
      <c r="A70" s="360"/>
      <c r="B70" s="357"/>
      <c r="C70" s="29" t="s">
        <v>80</v>
      </c>
      <c r="D70" s="29" t="s">
        <v>62</v>
      </c>
      <c r="E70" s="29" t="s">
        <v>87</v>
      </c>
      <c r="F70" s="29" t="s">
        <v>80</v>
      </c>
      <c r="G70" s="29" t="s">
        <v>62</v>
      </c>
      <c r="H70" s="29" t="s">
        <v>87</v>
      </c>
      <c r="I70" s="29" t="s">
        <v>80</v>
      </c>
      <c r="J70" s="29" t="s">
        <v>62</v>
      </c>
      <c r="K70" s="29" t="s">
        <v>87</v>
      </c>
    </row>
    <row r="71" spans="1:13" hidden="1">
      <c r="A71" s="37" t="s">
        <v>98</v>
      </c>
      <c r="B71" s="28" t="s">
        <v>106</v>
      </c>
    </row>
    <row r="72" spans="1:13" ht="30">
      <c r="A72" s="346" t="s">
        <v>65</v>
      </c>
      <c r="B72" s="49" t="s">
        <v>96</v>
      </c>
      <c r="C72" s="56">
        <v>1</v>
      </c>
      <c r="D72" s="26">
        <v>5000</v>
      </c>
      <c r="E72" s="26">
        <f>D72/C72</f>
        <v>5000</v>
      </c>
      <c r="F72" s="56">
        <v>10</v>
      </c>
      <c r="G72" s="26">
        <v>4000</v>
      </c>
      <c r="H72" s="26">
        <f>G72/F72</f>
        <v>400</v>
      </c>
      <c r="I72" s="56">
        <f>AVERAGE(C72,F72)</f>
        <v>5.5</v>
      </c>
      <c r="J72" s="26">
        <f>AVERAGE(D72,G72)</f>
        <v>4500</v>
      </c>
      <c r="K72" s="26">
        <f>J72/I72</f>
        <v>818.18181818181813</v>
      </c>
      <c r="M72" s="20"/>
    </row>
    <row r="73" spans="1:13" ht="30">
      <c r="A73" s="346"/>
      <c r="B73" s="49" t="s">
        <v>96</v>
      </c>
      <c r="C73" s="56">
        <v>1</v>
      </c>
      <c r="D73" s="26">
        <v>1000</v>
      </c>
      <c r="E73" s="26">
        <f>D73/C73</f>
        <v>1000</v>
      </c>
      <c r="F73" s="56">
        <v>2</v>
      </c>
      <c r="G73" s="26">
        <v>100000</v>
      </c>
      <c r="H73" s="26">
        <f>G73/F73</f>
        <v>50000</v>
      </c>
      <c r="I73" s="56">
        <f>AVERAGE(C73,F73)</f>
        <v>1.5</v>
      </c>
      <c r="J73" s="26">
        <f>AVERAGE(D73,G73)</f>
        <v>50500</v>
      </c>
      <c r="K73" s="26">
        <f>J73/I73</f>
        <v>33666.666666666664</v>
      </c>
    </row>
    <row r="74" spans="1:13">
      <c r="A74" s="346"/>
      <c r="B74" s="50" t="s">
        <v>97</v>
      </c>
      <c r="C74" s="56">
        <v>30</v>
      </c>
      <c r="D74" s="26">
        <f>E74*C74</f>
        <v>3000000</v>
      </c>
      <c r="E74" s="26">
        <v>100000</v>
      </c>
      <c r="F74" s="56">
        <v>200</v>
      </c>
      <c r="G74" s="26">
        <f>H74*F74</f>
        <v>20000000</v>
      </c>
      <c r="H74" s="26">
        <v>100000</v>
      </c>
      <c r="I74" s="56">
        <f>AVERAGE(C74,F74)</f>
        <v>115</v>
      </c>
      <c r="J74" s="26">
        <f>K74*I74</f>
        <v>11500000</v>
      </c>
      <c r="K74" s="26">
        <v>100000</v>
      </c>
    </row>
    <row r="75" spans="1:13">
      <c r="A75" s="346"/>
      <c r="B75" s="42" t="s">
        <v>32</v>
      </c>
      <c r="C75" s="17">
        <f>SUM(C72:C74)</f>
        <v>32</v>
      </c>
      <c r="D75" s="53">
        <f>SUM(D72:D74)</f>
        <v>3006000</v>
      </c>
      <c r="E75" s="34"/>
      <c r="F75" s="17"/>
      <c r="G75" s="53">
        <f>SUM(G72:G74)</f>
        <v>20104000</v>
      </c>
      <c r="H75" s="34"/>
      <c r="I75" s="17"/>
      <c r="J75" s="53">
        <f>SUM(J72:J74)</f>
        <v>11555000</v>
      </c>
      <c r="K75" s="34"/>
    </row>
    <row r="76" spans="1:13">
      <c r="C76" s="22"/>
      <c r="D76" s="25"/>
      <c r="E76" s="25"/>
      <c r="F76" s="22"/>
      <c r="G76" s="25"/>
      <c r="H76" s="25"/>
      <c r="I76" s="22"/>
      <c r="J76" s="25"/>
      <c r="K76" s="25"/>
    </row>
    <row r="77" spans="1:13" ht="20.25" customHeight="1">
      <c r="C77" s="22"/>
      <c r="D77" s="22"/>
      <c r="E77" s="22"/>
      <c r="F77" s="22"/>
      <c r="G77" s="22"/>
      <c r="H77" s="22"/>
      <c r="I77" s="22"/>
      <c r="J77" s="22"/>
      <c r="K77" s="22"/>
    </row>
    <row r="78" spans="1:13">
      <c r="B78" s="382" t="s">
        <v>113</v>
      </c>
      <c r="C78" s="382"/>
      <c r="D78" s="382"/>
      <c r="E78" s="382"/>
      <c r="F78" s="382"/>
      <c r="G78" s="57"/>
      <c r="H78" s="57"/>
      <c r="I78" s="57"/>
      <c r="J78" s="57"/>
    </row>
    <row r="79" spans="1:13">
      <c r="B79" s="59" t="s">
        <v>114</v>
      </c>
      <c r="C79" s="86"/>
      <c r="D79" s="113" t="s">
        <v>110</v>
      </c>
      <c r="E79" s="113" t="s">
        <v>111</v>
      </c>
      <c r="F79" s="113" t="s">
        <v>112</v>
      </c>
      <c r="G79" s="22"/>
      <c r="H79" s="22"/>
      <c r="I79" s="112"/>
    </row>
    <row r="80" spans="1:13">
      <c r="B80" s="88" t="s">
        <v>45</v>
      </c>
      <c r="C80" s="88"/>
      <c r="D80" s="87">
        <f>D26</f>
        <v>1600000</v>
      </c>
      <c r="E80" s="87">
        <f>D27+D43+D62</f>
        <v>6392500</v>
      </c>
      <c r="F80" s="87">
        <f>D28+D43+D63+D75</f>
        <v>15238500</v>
      </c>
      <c r="G80" s="22"/>
      <c r="H80" s="22"/>
      <c r="I80" s="57"/>
    </row>
    <row r="81" spans="2:9">
      <c r="B81" s="88" t="s">
        <v>46</v>
      </c>
      <c r="C81" s="86"/>
      <c r="D81" s="87">
        <f>G26</f>
        <v>6300000</v>
      </c>
      <c r="E81" s="87">
        <f>G27+G43+G62</f>
        <v>24370000</v>
      </c>
      <c r="F81" s="87">
        <f>G28+G43+G63+G75</f>
        <v>53654000</v>
      </c>
      <c r="G81" s="22"/>
      <c r="H81" s="22"/>
      <c r="I81" s="57"/>
    </row>
    <row r="82" spans="2:9">
      <c r="B82" s="88" t="s">
        <v>47</v>
      </c>
      <c r="C82" s="86"/>
      <c r="D82" s="87">
        <f>J26</f>
        <v>3700000</v>
      </c>
      <c r="E82" s="87">
        <f>J27+J43+J62</f>
        <v>14425625</v>
      </c>
      <c r="F82" s="87">
        <f>J28+J43+J63+J75</f>
        <v>33630625</v>
      </c>
      <c r="G82" s="22"/>
      <c r="H82" s="22"/>
      <c r="I82" s="57"/>
    </row>
    <row r="83" spans="2:9">
      <c r="B83" s="224" t="s">
        <v>197</v>
      </c>
      <c r="C83" s="86"/>
      <c r="D83" s="207" t="s">
        <v>185</v>
      </c>
      <c r="E83" s="83" t="s">
        <v>168</v>
      </c>
      <c r="F83" s="208">
        <v>110603125</v>
      </c>
      <c r="G83" s="22"/>
      <c r="H83" s="22"/>
      <c r="I83" s="22"/>
    </row>
    <row r="86" spans="2:9">
      <c r="D86" s="58"/>
    </row>
    <row r="88" spans="2:9">
      <c r="B88" s="97"/>
    </row>
    <row r="89" spans="2:9">
      <c r="E89" s="58"/>
    </row>
  </sheetData>
  <mergeCells count="40">
    <mergeCell ref="F48:H48"/>
    <mergeCell ref="I48:K48"/>
    <mergeCell ref="B78:F78"/>
    <mergeCell ref="F22:H22"/>
    <mergeCell ref="I22:K22"/>
    <mergeCell ref="C33:K33"/>
    <mergeCell ref="C34:E34"/>
    <mergeCell ref="F34:H34"/>
    <mergeCell ref="I34:K34"/>
    <mergeCell ref="A67:K67"/>
    <mergeCell ref="C68:K68"/>
    <mergeCell ref="C69:E69"/>
    <mergeCell ref="F69:H69"/>
    <mergeCell ref="I69:K69"/>
    <mergeCell ref="C42:E42"/>
    <mergeCell ref="F42:H42"/>
    <mergeCell ref="I42:K42"/>
    <mergeCell ref="C47:K47"/>
    <mergeCell ref="A2:A4"/>
    <mergeCell ref="A23:A28"/>
    <mergeCell ref="A1:K1"/>
    <mergeCell ref="B2:B3"/>
    <mergeCell ref="C2:K2"/>
    <mergeCell ref="C3:E3"/>
    <mergeCell ref="F3:H3"/>
    <mergeCell ref="I3:K3"/>
    <mergeCell ref="B68:B70"/>
    <mergeCell ref="A68:A70"/>
    <mergeCell ref="B33:B35"/>
    <mergeCell ref="B22:E22"/>
    <mergeCell ref="B47:B49"/>
    <mergeCell ref="A47:A49"/>
    <mergeCell ref="A32:A33"/>
    <mergeCell ref="C48:E48"/>
    <mergeCell ref="A72:A75"/>
    <mergeCell ref="A7:A15"/>
    <mergeCell ref="A16:A18"/>
    <mergeCell ref="A50:A51"/>
    <mergeCell ref="A53:A56"/>
    <mergeCell ref="A62:A6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97" zoomScale="70" zoomScaleNormal="70" workbookViewId="0">
      <selection activeCell="T17" sqref="T17"/>
    </sheetView>
  </sheetViews>
  <sheetFormatPr defaultRowHeight="15"/>
  <sheetData/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Целевые сегменты</vt:lpstr>
      <vt:lpstr>ФОТ</vt:lpstr>
      <vt:lpstr>Прогноз дох-расх</vt:lpstr>
      <vt:lpstr>Доходы-Затраты (2)</vt:lpstr>
      <vt:lpstr>Выручка (2)</vt:lpstr>
      <vt:lpstr>График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Ольга</cp:lastModifiedBy>
  <cp:lastPrinted>2015-07-12T14:05:30Z</cp:lastPrinted>
  <dcterms:created xsi:type="dcterms:W3CDTF">2015-06-06T17:06:14Z</dcterms:created>
  <dcterms:modified xsi:type="dcterms:W3CDTF">2015-09-09T07:28:30Z</dcterms:modified>
</cp:coreProperties>
</file>